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 codeName="ThisWorkbook"/>
  <mc:AlternateContent xmlns:mc="http://schemas.openxmlformats.org/markup-compatibility/2006">
    <mc:Choice Requires="x15">
      <x15ac:absPath xmlns:x15ac="http://schemas.microsoft.com/office/spreadsheetml/2010/11/ac" url="/Users/cmahanna/Downloads/"/>
    </mc:Choice>
  </mc:AlternateContent>
  <xr:revisionPtr revIDLastSave="0" documentId="8_{73A9C33C-711C-0042-A766-00B59254EC22}" xr6:coauthVersionLast="47" xr6:coauthVersionMax="47" xr10:uidLastSave="{00000000-0000-0000-0000-000000000000}"/>
  <bookViews>
    <workbookView xWindow="20" yWindow="760" windowWidth="25740" windowHeight="18480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E6" i="3"/>
  <c r="E5" i="3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14" i="3"/>
  <c r="F6" i="3"/>
  <c r="F5" i="3" s="1"/>
  <c r="C6" i="12"/>
  <c r="F6" i="12"/>
  <c r="F5" i="12" s="1"/>
  <c r="D6" i="7"/>
  <c r="D5" i="7" s="1"/>
  <c r="C6" i="7"/>
  <c r="E6" i="7"/>
  <c r="E5" i="7" s="1"/>
  <c r="F14" i="13"/>
  <c r="E6" i="10"/>
  <c r="E5" i="10" s="1"/>
  <c r="H14" i="7"/>
  <c r="G14" i="7"/>
  <c r="G14" i="3"/>
  <c r="G14" i="4"/>
  <c r="H14" i="4"/>
  <c r="E14" i="4"/>
  <c r="H6" i="3"/>
  <c r="H5" i="3" s="1"/>
  <c r="F6" i="7"/>
  <c r="F5" i="7" s="1"/>
  <c r="I6" i="12"/>
  <c r="I5" i="12" s="1"/>
  <c r="H14" i="3"/>
  <c r="I14" i="3"/>
  <c r="D14" i="3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C16" i="4" a="1"/>
  <c r="C6" i="2" a="1"/>
  <c r="C8" i="5" a="1"/>
  <c r="C16" i="5" a="1"/>
  <c r="C16" i="9" a="1"/>
  <c r="C12" i="10" a="1"/>
  <c r="C14" i="11" a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H14" i="11"/>
  <c r="C10" i="11"/>
  <c r="H16" i="11"/>
  <c r="G16" i="11"/>
  <c r="F16" i="11"/>
  <c r="E16" i="11"/>
  <c r="I10" i="11"/>
  <c r="F12" i="11"/>
  <c r="D16" i="11"/>
  <c r="G10" i="11"/>
  <c r="H12" i="11"/>
  <c r="E10" i="11"/>
  <c r="H10" i="11"/>
  <c r="E14" i="11"/>
  <c r="C12" i="11"/>
  <c r="D10" i="11"/>
  <c r="D12" i="11"/>
  <c r="F14" i="11"/>
  <c r="E6" i="11"/>
  <c r="E5" i="11" s="1"/>
  <c r="E12" i="11"/>
  <c r="G14" i="11"/>
  <c r="C14" i="11"/>
  <c r="H8" i="11"/>
  <c r="E16" i="6" l="1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<sst xmlns="http://schemas.openxmlformats.org/spreadsheetml/2006/main" count="62" uniqueCount="40">
  <si>
    <t>50/50 Alternating Every 2 Weeks Parenting Schedule</t>
  </si>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</sst>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2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87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9" xfId="0" applyFont="1" applyBorder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9" xfId="11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0" borderId="12" xfId="0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18" fontId="11" fillId="5" borderId="9" xfId="11" applyNumberFormat="1" applyFont="1" applyFill="1" applyBorder="1" applyAlignment="1">
      <alignment horizontal="left" vertical="top" wrapTex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18" fontId="33" fillId="0" borderId="9" xfId="11" applyNumberFormat="1" applyFont="1" applyBorder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3" fillId="3" borderId="12" xfId="11" applyFont="1" applyFill="1" applyBorder="1" applyAlignment="1">
      <alignment horizontal="left" vertical="top" wrapText="1"/>
    </xf>
    <xf numFmtId="0" fontId="35" fillId="2" borderId="0" xfId="7" applyFont="1" applyFill="1" applyBorder="1">
      <alignment horizontal="left"/>
    </xf>
    <xf numFmtId="0" fontId="36" fillId="2" borderId="0" xfId="5" applyFont="1" applyFill="1">
      <alignment horizontal="center" vertical="top"/>
    </xf>
    <xf numFmtId="0" fontId="37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6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3" fillId="3" borderId="0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8" fillId="2" borderId="0" xfId="5" applyFont="1" applyFill="1">
      <alignment horizontal="center" vertical="top"/>
    </xf>
    <xf numFmtId="0" fontId="39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8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2" xfId="11" applyFont="1" applyBorder="1" applyAlignment="1">
      <alignment horizontal="left" vertical="top" wrapTex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0" fontId="33" fillId="0" borderId="11" xfId="11" applyFont="1" applyBorder="1" applyAlignment="1">
      <alignment horizontal="left" vertical="top" wrapTex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0" fontId="33" fillId="0" borderId="0" xfId="11" applyFont="1" applyBorder="1" applyAlignment="1">
      <alignment horizontal="left" vertical="top" wrapText="1"/>
    </xf>
    <xf numFmtId="18" fontId="11" fillId="5" borderId="15" xfId="11" applyNumberFormat="1" applyFont="1" applyFill="1" applyBorder="1" applyAlignment="1">
      <alignment horizontal="center" vertical="top" wrapTex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9" fontId="11" fillId="0" borderId="24" xfId="11" applyNumberFormat="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40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1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center" vertical="top" wrapText="1"/>
    </xf>
    <xf numFmtId="18" fontId="11" fillId="3" borderId="9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>
      <alignment horizontal="left" vertical="top" wrapText="1" indent="1"/>
    </xf>
    <xf numFmtId="0" fontId="12" fillId="3" borderId="16" xfId="0" applyFont="1" applyFill="1" applyBorder="1">
      <alignment horizontal="left" vertical="top" wrapText="1" indent="1"/>
    </xf>
    <xf numFmtId="164" fontId="23" fillId="3" borderId="13" xfId="4" applyFont="1" applyFill="1" applyBorder="1">
      <alignment horizontal="left" indent="1"/>
    </xf>
    <xf numFmtId="18" fontId="11" fillId="3" borderId="17" xfId="11" applyNumberFormat="1" applyFont="1" applyFill="1" applyBorder="1" applyAlignment="1">
      <alignment horizontal="center" vertical="top" wrapText="1"/>
    </xf>
    <xf numFmtId="0" fontId="34" fillId="0" borderId="9" xfId="11" applyFont="1" applyBorder="1" applyAlignment="1">
      <alignment horizontal="left" vertical="top" wrapText="1"/>
    </xf>
    <xf numFmtId="0" fontId="33" fillId="0" borderId="24" xfId="11" applyFont="1" applyBorder="1" applyAlignment="1">
      <alignment horizontal="left" vertical="top" wrapText="1"/>
    </xf>
    <xf numFmtId="164" fontId="27" fillId="0" borderId="26" xfId="4" applyFont="1" applyFill="1" applyBorder="1">
      <alignment horizontal="left" indent="1"/>
    </xf>
    <xf numFmtId="0" fontId="13" fillId="0" borderId="15" xfId="11" applyFont="1" applyBorder="1">
      <alignment horizontal="left" vertical="top" wrapText="1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19" fontId="11" fillId="3" borderId="24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8FC6E2"/>
      <color rgb="FF172743"/>
      <color rgb="FFCFAA49"/>
      <color rgb="FF6E8390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12700</xdr:colOff>
      <xdr:row>12</xdr:row>
      <xdr:rowOff>164548</xdr:rowOff>
    </xdr:from>
    <xdr:to>
      <xdr:col>9</xdr:col>
      <xdr:colOff>0</xdr:colOff>
      <xdr:row>12</xdr:row>
      <xdr:rowOff>482047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F928AB72-8DEC-B44F-9166-5B5552CA98D8}"/>
            </a:ext>
          </a:extLst>
        </xdr:cNvPr>
        <xdr:cNvSpPr txBox="1"/>
      </xdr:nvSpPr>
      <xdr:spPr>
        <a:xfrm>
          <a:off x="547437" y="7097029"/>
          <a:ext cx="17299405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1241353</xdr:colOff>
      <xdr:row>14</xdr:row>
      <xdr:rowOff>181429</xdr:rowOff>
    </xdr:from>
    <xdr:to>
      <xdr:col>5</xdr:col>
      <xdr:colOff>9548</xdr:colOff>
      <xdr:row>14</xdr:row>
      <xdr:rowOff>496957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1776090" y="8383910"/>
          <a:ext cx="6187669" cy="31552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266699</xdr:colOff>
      <xdr:row>8</xdr:row>
      <xdr:rowOff>186267</xdr:rowOff>
    </xdr:from>
    <xdr:to>
      <xdr:col>8</xdr:col>
      <xdr:colOff>2463800</xdr:colOff>
      <xdr:row>8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3399" y="4567767"/>
          <a:ext cx="173228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1257299</xdr:colOff>
      <xdr:row>10</xdr:row>
      <xdr:rowOff>203200</xdr:rowOff>
    </xdr:from>
    <xdr:to>
      <xdr:col>9</xdr:col>
      <xdr:colOff>0</xdr:colOff>
      <xdr:row>10</xdr:row>
      <xdr:rowOff>520700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23C9AFA-9B4A-EB4E-A19C-7AA86AF38E57}"/>
            </a:ext>
          </a:extLst>
        </xdr:cNvPr>
        <xdr:cNvSpPr txBox="1"/>
      </xdr:nvSpPr>
      <xdr:spPr>
        <a:xfrm>
          <a:off x="1790699" y="5854700"/>
          <a:ext cx="16078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25399</xdr:colOff>
      <xdr:row>14</xdr:row>
      <xdr:rowOff>177800</xdr:rowOff>
    </xdr:from>
    <xdr:to>
      <xdr:col>2</xdr:col>
      <xdr:colOff>1244600</xdr:colOff>
      <xdr:row>14</xdr:row>
      <xdr:rowOff>495300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C458F8-F431-0247-B01A-DD11D15F77A8}"/>
            </a:ext>
          </a:extLst>
        </xdr:cNvPr>
        <xdr:cNvSpPr txBox="1"/>
      </xdr:nvSpPr>
      <xdr:spPr>
        <a:xfrm>
          <a:off x="558799" y="836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1181100</xdr:colOff>
      <xdr:row>6</xdr:row>
      <xdr:rowOff>177248</xdr:rowOff>
    </xdr:from>
    <xdr:to>
      <xdr:col>8</xdr:col>
      <xdr:colOff>2463800</xdr:colOff>
      <xdr:row>6</xdr:row>
      <xdr:rowOff>494748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B90369C-147D-854A-8863-D2115F887B70}"/>
            </a:ext>
          </a:extLst>
        </xdr:cNvPr>
        <xdr:cNvSpPr txBox="1"/>
      </xdr:nvSpPr>
      <xdr:spPr>
        <a:xfrm>
          <a:off x="1714500" y="3288748"/>
          <a:ext cx="161417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12699</xdr:colOff>
      <xdr:row>10</xdr:row>
      <xdr:rowOff>198967</xdr:rowOff>
    </xdr:from>
    <xdr:to>
      <xdr:col>2</xdr:col>
      <xdr:colOff>1270000</xdr:colOff>
      <xdr:row>10</xdr:row>
      <xdr:rowOff>520700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7B93E7D-2B01-FB4F-B059-627B6262F843}"/>
            </a:ext>
          </a:extLst>
        </xdr:cNvPr>
        <xdr:cNvSpPr txBox="1"/>
      </xdr:nvSpPr>
      <xdr:spPr>
        <a:xfrm>
          <a:off x="546099" y="5850467"/>
          <a:ext cx="1257301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12699</xdr:colOff>
      <xdr:row>6</xdr:row>
      <xdr:rowOff>177800</xdr:rowOff>
    </xdr:from>
    <xdr:to>
      <xdr:col>2</xdr:col>
      <xdr:colOff>1231900</xdr:colOff>
      <xdr:row>6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AACEB55-7D8D-4E4C-888A-72EAAA770E90}"/>
            </a:ext>
          </a:extLst>
        </xdr:cNvPr>
        <xdr:cNvSpPr txBox="1"/>
      </xdr:nvSpPr>
      <xdr:spPr>
        <a:xfrm>
          <a:off x="546099" y="3289300"/>
          <a:ext cx="121920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2028825</xdr:colOff>
      <xdr:row>1</xdr:row>
      <xdr:rowOff>752475</xdr:rowOff>
    </xdr:from>
    <xdr:to>
      <xdr:col>8</xdr:col>
      <xdr:colOff>1971675</xdr:colOff>
      <xdr:row>3</xdr:row>
      <xdr:rowOff>628650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F5E69F-9EB3-BED3-D272-A46E429C1AFB}"/>
            </a:ext>
            <a:ext uri="{147F2762-F138-4A5C-976F-8EAC2B608ADB}">
              <a16:predDERef xmlns:a16="http://schemas.microsoft.com/office/drawing/2014/main" pred="{CAACEB55-7D8D-4E4C-888A-72EAAA77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44625" y="942975"/>
          <a:ext cx="2266950" cy="1076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3313</xdr:colOff>
      <xdr:row>6</xdr:row>
      <xdr:rowOff>177799</xdr:rowOff>
    </xdr:from>
    <xdr:to>
      <xdr:col>8</xdr:col>
      <xdr:colOff>2470977</xdr:colOff>
      <xdr:row>6</xdr:row>
      <xdr:rowOff>524564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AF016A94-F252-D741-8DEB-F372B648F154}"/>
            </a:ext>
          </a:extLst>
        </xdr:cNvPr>
        <xdr:cNvSpPr txBox="1"/>
      </xdr:nvSpPr>
      <xdr:spPr>
        <a:xfrm>
          <a:off x="7940813" y="3283777"/>
          <a:ext cx="9880599" cy="34676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177799</xdr:rowOff>
    </xdr:from>
    <xdr:to>
      <xdr:col>9</xdr:col>
      <xdr:colOff>0</xdr:colOff>
      <xdr:row>8</xdr:row>
      <xdr:rowOff>565979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524565" y="4553777"/>
          <a:ext cx="17296848" cy="38818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1311412</xdr:colOff>
      <xdr:row>10</xdr:row>
      <xdr:rowOff>150192</xdr:rowOff>
    </xdr:from>
    <xdr:to>
      <xdr:col>8</xdr:col>
      <xdr:colOff>2466907</xdr:colOff>
      <xdr:row>10</xdr:row>
      <xdr:rowOff>496957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5B553AA8-AA17-B44D-A1EB-9CC42D6D3212}"/>
            </a:ext>
          </a:extLst>
        </xdr:cNvPr>
        <xdr:cNvSpPr txBox="1"/>
      </xdr:nvSpPr>
      <xdr:spPr>
        <a:xfrm>
          <a:off x="1841340" y="5805804"/>
          <a:ext cx="16011754" cy="34676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latin typeface="Montserrat" pitchFamily="2" charset="77"/>
            </a:rPr>
            <a:t>Parent</a:t>
          </a:r>
          <a:r>
            <a:rPr lang="en-US" sz="1300" baseline="0">
              <a:latin typeface="Montserrat" pitchFamily="2" charset="77"/>
            </a:rPr>
            <a:t> B</a:t>
          </a:r>
          <a:endParaRPr lang="en-US" sz="1300">
            <a:latin typeface="Montserrat" pitchFamily="2" charset="77"/>
          </a:endParaRPr>
        </a:p>
      </xdr:txBody>
    </xdr:sp>
    <xdr:clientData/>
  </xdr:twoCellAnchor>
  <xdr:twoCellAnchor>
    <xdr:from>
      <xdr:col>2</xdr:col>
      <xdr:colOff>18273</xdr:colOff>
      <xdr:row>14</xdr:row>
      <xdr:rowOff>255827</xdr:rowOff>
    </xdr:from>
    <xdr:to>
      <xdr:col>2</xdr:col>
      <xdr:colOff>1196907</xdr:colOff>
      <xdr:row>14</xdr:row>
      <xdr:rowOff>593588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3DDF9DC-B0AE-614F-AC9F-01E289757A6C}"/>
            </a:ext>
          </a:extLst>
        </xdr:cNvPr>
        <xdr:cNvSpPr txBox="1"/>
      </xdr:nvSpPr>
      <xdr:spPr>
        <a:xfrm>
          <a:off x="548201" y="8451439"/>
          <a:ext cx="1178634" cy="33776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8835</xdr:colOff>
      <xdr:row>10</xdr:row>
      <xdr:rowOff>151848</xdr:rowOff>
    </xdr:from>
    <xdr:to>
      <xdr:col>2</xdr:col>
      <xdr:colOff>1339022</xdr:colOff>
      <xdr:row>10</xdr:row>
      <xdr:rowOff>496957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34D223-02C5-E241-949A-0058DE925D73}"/>
            </a:ext>
          </a:extLst>
        </xdr:cNvPr>
        <xdr:cNvSpPr txBox="1"/>
      </xdr:nvSpPr>
      <xdr:spPr>
        <a:xfrm>
          <a:off x="533400" y="5797826"/>
          <a:ext cx="1330187" cy="345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22640</xdr:colOff>
      <xdr:row>12</xdr:row>
      <xdr:rowOff>155713</xdr:rowOff>
    </xdr:from>
    <xdr:to>
      <xdr:col>8</xdr:col>
      <xdr:colOff>2466907</xdr:colOff>
      <xdr:row>12</xdr:row>
      <xdr:rowOff>496957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473A4F-952D-6D42-9C84-5AF131314719}"/>
            </a:ext>
          </a:extLst>
        </xdr:cNvPr>
        <xdr:cNvSpPr txBox="1"/>
      </xdr:nvSpPr>
      <xdr:spPr>
        <a:xfrm>
          <a:off x="552568" y="7081325"/>
          <a:ext cx="17300526" cy="34124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1198880</xdr:colOff>
      <xdr:row>14</xdr:row>
      <xdr:rowOff>255827</xdr:rowOff>
    </xdr:from>
    <xdr:to>
      <xdr:col>5</xdr:col>
      <xdr:colOff>0</xdr:colOff>
      <xdr:row>14</xdr:row>
      <xdr:rowOff>594140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D1DE24D-8D2E-CC4D-A2C2-382A338F7CD6}"/>
            </a:ext>
          </a:extLst>
        </xdr:cNvPr>
        <xdr:cNvSpPr txBox="1"/>
      </xdr:nvSpPr>
      <xdr:spPr>
        <a:xfrm>
          <a:off x="1727200" y="8454947"/>
          <a:ext cx="6238240" cy="3383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2066925</xdr:colOff>
      <xdr:row>1</xdr:row>
      <xdr:rowOff>752475</xdr:rowOff>
    </xdr:from>
    <xdr:to>
      <xdr:col>8</xdr:col>
      <xdr:colOff>2009775</xdr:colOff>
      <xdr:row>3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19091A-E6C0-41B7-B026-AC886B465606}"/>
            </a:ext>
            <a:ext uri="{147F2762-F138-4A5C-976F-8EAC2B608ADB}">
              <a16:predDERef xmlns:a16="http://schemas.microsoft.com/office/drawing/2014/main" pred="{3D1DE24D-8D2E-CC4D-A2C2-382A338F7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82725" y="942975"/>
          <a:ext cx="2266950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12700</xdr:colOff>
      <xdr:row>6</xdr:row>
      <xdr:rowOff>177800</xdr:rowOff>
    </xdr:from>
    <xdr:to>
      <xdr:col>9</xdr:col>
      <xdr:colOff>12700</xdr:colOff>
      <xdr:row>6</xdr:row>
      <xdr:rowOff>495300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CFE792B-6856-CC40-B9D7-60A7B2D7FE0D}"/>
            </a:ext>
          </a:extLst>
        </xdr:cNvPr>
        <xdr:cNvSpPr txBox="1"/>
      </xdr:nvSpPr>
      <xdr:spPr>
        <a:xfrm>
          <a:off x="7975600" y="3289300"/>
          <a:ext cx="99060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190500</xdr:rowOff>
    </xdr:from>
    <xdr:to>
      <xdr:col>9</xdr:col>
      <xdr:colOff>12700</xdr:colOff>
      <xdr:row>8</xdr:row>
      <xdr:rowOff>508000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533400" y="4572000"/>
          <a:ext cx="1734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1244600</xdr:colOff>
      <xdr:row>14</xdr:row>
      <xdr:rowOff>203200</xdr:rowOff>
    </xdr:from>
    <xdr:to>
      <xdr:col>8</xdr:col>
      <xdr:colOff>12700</xdr:colOff>
      <xdr:row>14</xdr:row>
      <xdr:rowOff>520700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1778000" y="8394700"/>
          <a:ext cx="13627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F3F14E7-7586-1641-AD0B-7F37AED75B34}"/>
            </a:ext>
          </a:extLst>
        </xdr:cNvPr>
        <xdr:cNvSpPr txBox="1"/>
      </xdr:nvSpPr>
      <xdr:spPr>
        <a:xfrm>
          <a:off x="1803400" y="5829300"/>
          <a:ext cx="16065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8</xdr:col>
      <xdr:colOff>2463800</xdr:colOff>
      <xdr:row>12</xdr:row>
      <xdr:rowOff>482600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DB870F9-5DA9-B143-8815-07A855DA386E}"/>
            </a:ext>
          </a:extLst>
        </xdr:cNvPr>
        <xdr:cNvSpPr txBox="1"/>
      </xdr:nvSpPr>
      <xdr:spPr>
        <a:xfrm>
          <a:off x="546100" y="7086600"/>
          <a:ext cx="17310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203200</xdr:rowOff>
    </xdr:from>
    <xdr:to>
      <xdr:col>2</xdr:col>
      <xdr:colOff>1231900</xdr:colOff>
      <xdr:row>14</xdr:row>
      <xdr:rowOff>520700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94434DA-E6AD-8A47-8A2B-4CFC0ACA7C82}"/>
            </a:ext>
          </a:extLst>
        </xdr:cNvPr>
        <xdr:cNvSpPr txBox="1"/>
      </xdr:nvSpPr>
      <xdr:spPr>
        <a:xfrm>
          <a:off x="558800" y="8394700"/>
          <a:ext cx="1206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2</xdr:col>
      <xdr:colOff>1257299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327BCF-2422-9B45-B187-5EC556759512}"/>
            </a:ext>
          </a:extLst>
        </xdr:cNvPr>
        <xdr:cNvSpPr txBox="1"/>
      </xdr:nvSpPr>
      <xdr:spPr>
        <a:xfrm>
          <a:off x="546100" y="5829300"/>
          <a:ext cx="124459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2009775</xdr:colOff>
      <xdr:row>1</xdr:row>
      <xdr:rowOff>752475</xdr:rowOff>
    </xdr:from>
    <xdr:to>
      <xdr:col>8</xdr:col>
      <xdr:colOff>1952625</xdr:colOff>
      <xdr:row>3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960C57-5F55-427D-989D-FE2DE1FC5920}"/>
            </a:ext>
            <a:ext uri="{147F2762-F138-4A5C-976F-8EAC2B608ADB}">
              <a16:predDERef xmlns:a16="http://schemas.microsoft.com/office/drawing/2014/main" pred="{A2327BCF-2422-9B45-B187-5EC556759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25575" y="942975"/>
          <a:ext cx="226695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1282700</xdr:colOff>
      <xdr:row>10</xdr:row>
      <xdr:rowOff>177801</xdr:rowOff>
    </xdr:from>
    <xdr:to>
      <xdr:col>8</xdr:col>
      <xdr:colOff>2463800</xdr:colOff>
      <xdr:row>10</xdr:row>
      <xdr:rowOff>495301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FA8D4CC-72E8-104F-B5C0-F247BAE66F1E}"/>
            </a:ext>
          </a:extLst>
        </xdr:cNvPr>
        <xdr:cNvSpPr txBox="1"/>
      </xdr:nvSpPr>
      <xdr:spPr>
        <a:xfrm>
          <a:off x="1816100" y="5829301"/>
          <a:ext cx="16040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9136</xdr:colOff>
      <xdr:row>14</xdr:row>
      <xdr:rowOff>177800</xdr:rowOff>
    </xdr:from>
    <xdr:to>
      <xdr:col>2</xdr:col>
      <xdr:colOff>1196905</xdr:colOff>
      <xdr:row>14</xdr:row>
      <xdr:rowOff>493381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1854C77D-1DF9-6F4A-862B-CA07F54FB2F6}"/>
            </a:ext>
          </a:extLst>
        </xdr:cNvPr>
        <xdr:cNvSpPr txBox="1"/>
      </xdr:nvSpPr>
      <xdr:spPr>
        <a:xfrm>
          <a:off x="539064" y="8373412"/>
          <a:ext cx="1187769" cy="31558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9</xdr:col>
      <xdr:colOff>0</xdr:colOff>
      <xdr:row>8</xdr:row>
      <xdr:rowOff>495300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533400" y="4559300"/>
          <a:ext cx="1733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1188936</xdr:colOff>
      <xdr:row>14</xdr:row>
      <xdr:rowOff>177800</xdr:rowOff>
    </xdr:from>
    <xdr:to>
      <xdr:col>9</xdr:col>
      <xdr:colOff>0</xdr:colOff>
      <xdr:row>14</xdr:row>
      <xdr:rowOff>495300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1729362" y="8365247"/>
          <a:ext cx="16149716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9137</xdr:colOff>
      <xdr:row>10</xdr:row>
      <xdr:rowOff>177800</xdr:rowOff>
    </xdr:from>
    <xdr:to>
      <xdr:col>2</xdr:col>
      <xdr:colOff>1288272</xdr:colOff>
      <xdr:row>10</xdr:row>
      <xdr:rowOff>495299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852EBC0-14E5-0540-A1FE-BC78875A344B}"/>
            </a:ext>
          </a:extLst>
        </xdr:cNvPr>
        <xdr:cNvSpPr txBox="1"/>
      </xdr:nvSpPr>
      <xdr:spPr>
        <a:xfrm>
          <a:off x="539065" y="5833412"/>
          <a:ext cx="12791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9137</xdr:colOff>
      <xdr:row>12</xdr:row>
      <xdr:rowOff>165100</xdr:rowOff>
    </xdr:from>
    <xdr:to>
      <xdr:col>8</xdr:col>
      <xdr:colOff>2466908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59CBEFA-26F3-624B-AAE3-EF88D211BE36}"/>
            </a:ext>
          </a:extLst>
        </xdr:cNvPr>
        <xdr:cNvSpPr txBox="1"/>
      </xdr:nvSpPr>
      <xdr:spPr>
        <a:xfrm>
          <a:off x="539065" y="7090712"/>
          <a:ext cx="1731403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9138</xdr:colOff>
      <xdr:row>6</xdr:row>
      <xdr:rowOff>241300</xdr:rowOff>
    </xdr:from>
    <xdr:to>
      <xdr:col>9</xdr:col>
      <xdr:colOff>1</xdr:colOff>
      <xdr:row>6</xdr:row>
      <xdr:rowOff>558799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F7345FA-E0C9-114E-ADE1-B3C8B2C723A7}"/>
            </a:ext>
          </a:extLst>
        </xdr:cNvPr>
        <xdr:cNvSpPr txBox="1"/>
      </xdr:nvSpPr>
      <xdr:spPr>
        <a:xfrm>
          <a:off x="15395325" y="3356912"/>
          <a:ext cx="2466906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18274</xdr:colOff>
      <xdr:row>16</xdr:row>
      <xdr:rowOff>228600</xdr:rowOff>
    </xdr:from>
    <xdr:to>
      <xdr:col>3</xdr:col>
      <xdr:colOff>0</xdr:colOff>
      <xdr:row>16</xdr:row>
      <xdr:rowOff>546099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9AF25DA-95AE-D647-820B-88F50069D1A4}"/>
            </a:ext>
          </a:extLst>
        </xdr:cNvPr>
        <xdr:cNvSpPr txBox="1"/>
      </xdr:nvSpPr>
      <xdr:spPr>
        <a:xfrm>
          <a:off x="548202" y="9694212"/>
          <a:ext cx="2457769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2085975</xdr:colOff>
      <xdr:row>1</xdr:row>
      <xdr:rowOff>781050</xdr:rowOff>
    </xdr:from>
    <xdr:to>
      <xdr:col>8</xdr:col>
      <xdr:colOff>2028825</xdr:colOff>
      <xdr:row>3</xdr:row>
      <xdr:rowOff>657225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7C5846A-7993-4191-863A-D707EA85882E}"/>
            </a:ext>
            <a:ext uri="{147F2762-F138-4A5C-976F-8EAC2B608ADB}">
              <a16:predDERef xmlns:a16="http://schemas.microsoft.com/office/drawing/2014/main" pred="{79AF25DA-95AE-D647-820B-88F50069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1775" y="971550"/>
          <a:ext cx="2266950" cy="1076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7888</xdr:colOff>
      <xdr:row>6</xdr:row>
      <xdr:rowOff>215900</xdr:rowOff>
    </xdr:from>
    <xdr:to>
      <xdr:col>8</xdr:col>
      <xdr:colOff>2469006</xdr:colOff>
      <xdr:row>6</xdr:row>
      <xdr:rowOff>533400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3021180" y="3323850"/>
          <a:ext cx="1484559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6</xdr:col>
      <xdr:colOff>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549098" y="8365750"/>
          <a:ext cx="9894877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12</xdr:row>
      <xdr:rowOff>165100</xdr:rowOff>
    </xdr:from>
    <xdr:to>
      <xdr:col>9</xdr:col>
      <xdr:colOff>0</xdr:colOff>
      <xdr:row>12</xdr:row>
      <xdr:rowOff>482600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3504887-3815-2542-8748-D49828888F96}"/>
            </a:ext>
          </a:extLst>
        </xdr:cNvPr>
        <xdr:cNvSpPr txBox="1"/>
      </xdr:nvSpPr>
      <xdr:spPr>
        <a:xfrm>
          <a:off x="1790700" y="7086600"/>
          <a:ext cx="160782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177800</xdr:rowOff>
    </xdr:from>
    <xdr:to>
      <xdr:col>8</xdr:col>
      <xdr:colOff>2469006</xdr:colOff>
      <xdr:row>8</xdr:row>
      <xdr:rowOff>482600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ADF9C4C-814C-B04D-8835-93DAEC7DACDC}"/>
            </a:ext>
          </a:extLst>
        </xdr:cNvPr>
        <xdr:cNvSpPr txBox="1"/>
      </xdr:nvSpPr>
      <xdr:spPr>
        <a:xfrm>
          <a:off x="1793698" y="4555750"/>
          <a:ext cx="16073072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177801</xdr:rowOff>
    </xdr:from>
    <xdr:to>
      <xdr:col>8</xdr:col>
      <xdr:colOff>2463800</xdr:colOff>
      <xdr:row>10</xdr:row>
      <xdr:rowOff>495301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546100" y="5829301"/>
          <a:ext cx="17310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177801</xdr:rowOff>
    </xdr:from>
    <xdr:to>
      <xdr:col>2</xdr:col>
      <xdr:colOff>1257299</xdr:colOff>
      <xdr:row>8</xdr:row>
      <xdr:rowOff>482601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8D23DFA-B168-7442-BAFD-3C9D388E929D}"/>
            </a:ext>
          </a:extLst>
        </xdr:cNvPr>
        <xdr:cNvSpPr txBox="1"/>
      </xdr:nvSpPr>
      <xdr:spPr>
        <a:xfrm>
          <a:off x="546100" y="4559301"/>
          <a:ext cx="1244599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1257299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A34AC9-7076-6E4B-8718-F7CB671F86FE}"/>
            </a:ext>
          </a:extLst>
        </xdr:cNvPr>
        <xdr:cNvSpPr txBox="1"/>
      </xdr:nvSpPr>
      <xdr:spPr>
        <a:xfrm>
          <a:off x="546100" y="7086600"/>
          <a:ext cx="1244599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2105025</xdr:colOff>
      <xdr:row>1</xdr:row>
      <xdr:rowOff>752475</xdr:rowOff>
    </xdr:from>
    <xdr:to>
      <xdr:col>8</xdr:col>
      <xdr:colOff>2047875</xdr:colOff>
      <xdr:row>3</xdr:row>
      <xdr:rowOff>628650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2C9B70-8D49-49CB-853D-81FAF45A8854}"/>
            </a:ext>
            <a:ext uri="{147F2762-F138-4A5C-976F-8EAC2B608ADB}">
              <a16:predDERef xmlns:a16="http://schemas.microsoft.com/office/drawing/2014/main" pred="{02A34AC9-7076-6E4B-8718-F7CB671F8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0825" y="942975"/>
          <a:ext cx="2266950" cy="1076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15488</xdr:colOff>
      <xdr:row>10</xdr:row>
      <xdr:rowOff>177801</xdr:rowOff>
    </xdr:from>
    <xdr:to>
      <xdr:col>9</xdr:col>
      <xdr:colOff>0</xdr:colOff>
      <xdr:row>10</xdr:row>
      <xdr:rowOff>495301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20B1223-4B6F-784D-BC2A-5246414E3492}"/>
            </a:ext>
          </a:extLst>
        </xdr:cNvPr>
        <xdr:cNvSpPr txBox="1"/>
      </xdr:nvSpPr>
      <xdr:spPr>
        <a:xfrm>
          <a:off x="542073" y="5830850"/>
          <a:ext cx="17330854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6</xdr:col>
      <xdr:colOff>0</xdr:colOff>
      <xdr:row>6</xdr:row>
      <xdr:rowOff>177800</xdr:rowOff>
    </xdr:from>
    <xdr:to>
      <xdr:col>9</xdr:col>
      <xdr:colOff>0</xdr:colOff>
      <xdr:row>6</xdr:row>
      <xdr:rowOff>495299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022E6C6-07A3-5F43-B94E-8744B2B3B961}"/>
            </a:ext>
          </a:extLst>
        </xdr:cNvPr>
        <xdr:cNvSpPr txBox="1"/>
      </xdr:nvSpPr>
      <xdr:spPr>
        <a:xfrm>
          <a:off x="10464800" y="3310467"/>
          <a:ext cx="7442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8</xdr:row>
      <xdr:rowOff>190501</xdr:rowOff>
    </xdr:from>
    <xdr:to>
      <xdr:col>9</xdr:col>
      <xdr:colOff>0</xdr:colOff>
      <xdr:row>8</xdr:row>
      <xdr:rowOff>495300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2EBAB55-486C-744D-8425-943F326FFF04}"/>
            </a:ext>
          </a:extLst>
        </xdr:cNvPr>
        <xdr:cNvSpPr txBox="1"/>
      </xdr:nvSpPr>
      <xdr:spPr>
        <a:xfrm>
          <a:off x="1799167" y="4601634"/>
          <a:ext cx="16107833" cy="3047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7744</xdr:colOff>
      <xdr:row>14</xdr:row>
      <xdr:rowOff>177800</xdr:rowOff>
    </xdr:from>
    <xdr:to>
      <xdr:col>8</xdr:col>
      <xdr:colOff>8466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549611" y="8424333"/>
          <a:ext cx="14885122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2</xdr:col>
      <xdr:colOff>1257299</xdr:colOff>
      <xdr:row>8</xdr:row>
      <xdr:rowOff>495300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BF8B53C-DB8B-1347-ABED-8075D75705A7}"/>
            </a:ext>
          </a:extLst>
        </xdr:cNvPr>
        <xdr:cNvSpPr txBox="1"/>
      </xdr:nvSpPr>
      <xdr:spPr>
        <a:xfrm>
          <a:off x="546100" y="4572000"/>
          <a:ext cx="1244599" cy="3048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177800</xdr:rowOff>
    </xdr:from>
    <xdr:to>
      <xdr:col>2</xdr:col>
      <xdr:colOff>1257300</xdr:colOff>
      <xdr:row>12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46F0884-F18F-C944-B5AB-C2D6A4F0B5B7}"/>
            </a:ext>
          </a:extLst>
        </xdr:cNvPr>
        <xdr:cNvSpPr txBox="1"/>
      </xdr:nvSpPr>
      <xdr:spPr>
        <a:xfrm>
          <a:off x="546100" y="7099300"/>
          <a:ext cx="1244600" cy="3302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1254512</xdr:colOff>
      <xdr:row>12</xdr:row>
      <xdr:rowOff>177800</xdr:rowOff>
    </xdr:from>
    <xdr:to>
      <xdr:col>8</xdr:col>
      <xdr:colOff>2478048</xdr:colOff>
      <xdr:row>12</xdr:row>
      <xdr:rowOff>511097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7AEFC51-945C-AF48-B1D3-C9EF86FD2D3A}"/>
            </a:ext>
          </a:extLst>
        </xdr:cNvPr>
        <xdr:cNvSpPr txBox="1"/>
      </xdr:nvSpPr>
      <xdr:spPr>
        <a:xfrm>
          <a:off x="1781097" y="7100849"/>
          <a:ext cx="16091829" cy="33329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2076450</xdr:colOff>
      <xdr:row>1</xdr:row>
      <xdr:rowOff>752475</xdr:rowOff>
    </xdr:from>
    <xdr:to>
      <xdr:col>8</xdr:col>
      <xdr:colOff>2019300</xdr:colOff>
      <xdr:row>3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628FF03-8F36-4B38-A7FD-4C226819D7C9}"/>
            </a:ext>
            <a:ext uri="{147F2762-F138-4A5C-976F-8EAC2B608ADB}">
              <a16:predDERef xmlns:a16="http://schemas.microsoft.com/office/drawing/2014/main" pred="{47AEFC51-945C-AF48-B1D3-C9EF86FD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0" y="942975"/>
          <a:ext cx="2266950" cy="1076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12700</xdr:colOff>
      <xdr:row>6</xdr:row>
      <xdr:rowOff>177800</xdr:rowOff>
    </xdr:from>
    <xdr:to>
      <xdr:col>8</xdr:col>
      <xdr:colOff>2470335</xdr:colOff>
      <xdr:row>6</xdr:row>
      <xdr:rowOff>495299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64AE623-F845-0040-B99F-33E1D33B8590}"/>
            </a:ext>
          </a:extLst>
        </xdr:cNvPr>
        <xdr:cNvSpPr txBox="1"/>
      </xdr:nvSpPr>
      <xdr:spPr>
        <a:xfrm>
          <a:off x="15405100" y="3289300"/>
          <a:ext cx="2457635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9</xdr:col>
      <xdr:colOff>0</xdr:colOff>
      <xdr:row>14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554567" y="8424333"/>
          <a:ext cx="17352433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1244599</xdr:colOff>
      <xdr:row>12</xdr:row>
      <xdr:rowOff>165100</xdr:rowOff>
    </xdr:from>
    <xdr:to>
      <xdr:col>8</xdr:col>
      <xdr:colOff>2480732</xdr:colOff>
      <xdr:row>12</xdr:row>
      <xdr:rowOff>482600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1786466" y="7133167"/>
          <a:ext cx="16120533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10</xdr:row>
      <xdr:rowOff>165100</xdr:rowOff>
    </xdr:from>
    <xdr:to>
      <xdr:col>9</xdr:col>
      <xdr:colOff>0</xdr:colOff>
      <xdr:row>10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776A7E44-97DC-6746-9DAE-45D13AF17707}"/>
            </a:ext>
          </a:extLst>
        </xdr:cNvPr>
        <xdr:cNvSpPr txBox="1"/>
      </xdr:nvSpPr>
      <xdr:spPr>
        <a:xfrm>
          <a:off x="541867" y="5854700"/>
          <a:ext cx="17365133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8</xdr:row>
      <xdr:rowOff>177800</xdr:rowOff>
    </xdr:from>
    <xdr:to>
      <xdr:col>9</xdr:col>
      <xdr:colOff>0</xdr:colOff>
      <xdr:row>8</xdr:row>
      <xdr:rowOff>495300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369310B-B9A0-5041-B75D-C5861CADF0BF}"/>
            </a:ext>
          </a:extLst>
        </xdr:cNvPr>
        <xdr:cNvSpPr txBox="1"/>
      </xdr:nvSpPr>
      <xdr:spPr>
        <a:xfrm>
          <a:off x="1803400" y="4559300"/>
          <a:ext cx="16065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16</xdr:row>
      <xdr:rowOff>215900</xdr:rowOff>
    </xdr:from>
    <xdr:to>
      <xdr:col>4</xdr:col>
      <xdr:colOff>0</xdr:colOff>
      <xdr:row>16</xdr:row>
      <xdr:rowOff>533400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74301DA-3A4C-1347-A8FC-26117B90FA0C}"/>
            </a:ext>
          </a:extLst>
        </xdr:cNvPr>
        <xdr:cNvSpPr txBox="1"/>
      </xdr:nvSpPr>
      <xdr:spPr>
        <a:xfrm>
          <a:off x="1811867" y="9740900"/>
          <a:ext cx="3691466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2</xdr:col>
      <xdr:colOff>1278466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F31D15-8C13-BC48-A018-9A19ECFA37F5}"/>
            </a:ext>
          </a:extLst>
        </xdr:cNvPr>
        <xdr:cNvSpPr txBox="1"/>
      </xdr:nvSpPr>
      <xdr:spPr>
        <a:xfrm>
          <a:off x="554567" y="4588933"/>
          <a:ext cx="1265766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1257299</xdr:colOff>
      <xdr:row>12</xdr:row>
      <xdr:rowOff>482600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12BE612-7EE1-AD49-9C53-0BBEAFBBF3B9}"/>
            </a:ext>
          </a:extLst>
        </xdr:cNvPr>
        <xdr:cNvSpPr txBox="1"/>
      </xdr:nvSpPr>
      <xdr:spPr>
        <a:xfrm>
          <a:off x="546100" y="7086600"/>
          <a:ext cx="1244599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16</xdr:row>
      <xdr:rowOff>215900</xdr:rowOff>
    </xdr:from>
    <xdr:to>
      <xdr:col>2</xdr:col>
      <xdr:colOff>1269999</xdr:colOff>
      <xdr:row>16</xdr:row>
      <xdr:rowOff>533400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C49486E-F977-B042-9DD7-EDF1B8354B4A}"/>
            </a:ext>
          </a:extLst>
        </xdr:cNvPr>
        <xdr:cNvSpPr txBox="1"/>
      </xdr:nvSpPr>
      <xdr:spPr>
        <a:xfrm>
          <a:off x="550333" y="9740900"/>
          <a:ext cx="1261533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2162175</xdr:colOff>
      <xdr:row>1</xdr:row>
      <xdr:rowOff>800100</xdr:rowOff>
    </xdr:from>
    <xdr:to>
      <xdr:col>8</xdr:col>
      <xdr:colOff>2105025</xdr:colOff>
      <xdr:row>3</xdr:row>
      <xdr:rowOff>676275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8F901A1-A560-42DD-A7AB-7AFD7BF14D46}"/>
            </a:ext>
            <a:ext uri="{147F2762-F138-4A5C-976F-8EAC2B608ADB}">
              <a16:predDERef xmlns:a16="http://schemas.microsoft.com/office/drawing/2014/main" pred="{5C49486E-F977-B042-9DD7-EDF1B8354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7975" y="990600"/>
          <a:ext cx="2266950" cy="1076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9006</xdr:colOff>
      <xdr:row>6</xdr:row>
      <xdr:rowOff>177800</xdr:rowOff>
    </xdr:from>
    <xdr:to>
      <xdr:col>8</xdr:col>
      <xdr:colOff>2463799</xdr:colOff>
      <xdr:row>6</xdr:row>
      <xdr:rowOff>495300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56BDCE8-E3AC-B84F-A837-E27C04C24008}"/>
            </a:ext>
          </a:extLst>
        </xdr:cNvPr>
        <xdr:cNvSpPr txBox="1"/>
      </xdr:nvSpPr>
      <xdr:spPr>
        <a:xfrm>
          <a:off x="5503332" y="3285247"/>
          <a:ext cx="12362595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14</xdr:row>
      <xdr:rowOff>177800</xdr:rowOff>
    </xdr:from>
    <xdr:to>
      <xdr:col>7</xdr:col>
      <xdr:colOff>0</xdr:colOff>
      <xdr:row>14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678F4A4-8AC6-AD45-A021-92BDC7AB5894}"/>
            </a:ext>
          </a:extLst>
        </xdr:cNvPr>
        <xdr:cNvSpPr txBox="1"/>
      </xdr:nvSpPr>
      <xdr:spPr>
        <a:xfrm>
          <a:off x="1803400" y="8369300"/>
          <a:ext cx="111125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1257300</xdr:colOff>
      <xdr:row>10</xdr:row>
      <xdr:rowOff>203200</xdr:rowOff>
    </xdr:from>
    <xdr:to>
      <xdr:col>9</xdr:col>
      <xdr:colOff>0</xdr:colOff>
      <xdr:row>10</xdr:row>
      <xdr:rowOff>520699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1790700" y="5854700"/>
          <a:ext cx="160782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9</xdr:col>
      <xdr:colOff>0</xdr:colOff>
      <xdr:row>12</xdr:row>
      <xdr:rowOff>482599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553126" y="7082547"/>
          <a:ext cx="17325952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8</xdr:row>
      <xdr:rowOff>177800</xdr:rowOff>
    </xdr:from>
    <xdr:to>
      <xdr:col>8</xdr:col>
      <xdr:colOff>2463800</xdr:colOff>
      <xdr:row>8</xdr:row>
      <xdr:rowOff>495300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40426" y="4555247"/>
          <a:ext cx="17325502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2</xdr:col>
      <xdr:colOff>1280160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B3B73DD-20B2-5A43-A6A0-472427F5E44F}"/>
            </a:ext>
          </a:extLst>
        </xdr:cNvPr>
        <xdr:cNvSpPr txBox="1"/>
      </xdr:nvSpPr>
      <xdr:spPr>
        <a:xfrm>
          <a:off x="541020" y="8376920"/>
          <a:ext cx="126746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9008</xdr:colOff>
      <xdr:row>10</xdr:row>
      <xdr:rowOff>203200</xdr:rowOff>
    </xdr:from>
    <xdr:to>
      <xdr:col>2</xdr:col>
      <xdr:colOff>1270000</xdr:colOff>
      <xdr:row>10</xdr:row>
      <xdr:rowOff>520700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476627-572E-E542-81FA-8B10E7BC0483}"/>
            </a:ext>
          </a:extLst>
        </xdr:cNvPr>
        <xdr:cNvSpPr txBox="1"/>
      </xdr:nvSpPr>
      <xdr:spPr>
        <a:xfrm>
          <a:off x="549434" y="5850647"/>
          <a:ext cx="1260992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2114550</xdr:colOff>
      <xdr:row>1</xdr:row>
      <xdr:rowOff>809625</xdr:rowOff>
    </xdr:from>
    <xdr:to>
      <xdr:col>8</xdr:col>
      <xdr:colOff>2057400</xdr:colOff>
      <xdr:row>3</xdr:row>
      <xdr:rowOff>685800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FE5673-8E88-4E82-A508-87B607F34C2D}"/>
            </a:ext>
            <a:ext uri="{147F2762-F138-4A5C-976F-8EAC2B608ADB}">
              <a16:predDERef xmlns:a16="http://schemas.microsoft.com/office/drawing/2014/main" pred="{55476627-572E-E542-81FA-8B10E7BC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0350" y="1000125"/>
          <a:ext cx="2266950" cy="1076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0</xdr:colOff>
      <xdr:row>6</xdr:row>
      <xdr:rowOff>165100</xdr:rowOff>
    </xdr:from>
    <xdr:to>
      <xdr:col>9</xdr:col>
      <xdr:colOff>5336</xdr:colOff>
      <xdr:row>6</xdr:row>
      <xdr:rowOff>482599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8E24310-D602-7540-B1CD-8DA893B7D18F}"/>
            </a:ext>
          </a:extLst>
        </xdr:cNvPr>
        <xdr:cNvSpPr txBox="1"/>
      </xdr:nvSpPr>
      <xdr:spPr>
        <a:xfrm>
          <a:off x="12915900" y="3276600"/>
          <a:ext cx="4958336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9</xdr:col>
      <xdr:colOff>0</xdr:colOff>
      <xdr:row>8</xdr:row>
      <xdr:rowOff>502203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BD63A4C-DCA8-FA40-89AD-03C38AEAD602}"/>
            </a:ext>
          </a:extLst>
        </xdr:cNvPr>
        <xdr:cNvSpPr txBox="1"/>
      </xdr:nvSpPr>
      <xdr:spPr>
        <a:xfrm>
          <a:off x="546100" y="4559300"/>
          <a:ext cx="173228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1278467</xdr:colOff>
      <xdr:row>14</xdr:row>
      <xdr:rowOff>177800</xdr:rowOff>
    </xdr:from>
    <xdr:to>
      <xdr:col>8</xdr:col>
      <xdr:colOff>2461329</xdr:colOff>
      <xdr:row>14</xdr:row>
      <xdr:rowOff>491067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AFABEAD-F7F5-0545-9319-C9C32551533D}"/>
            </a:ext>
          </a:extLst>
        </xdr:cNvPr>
        <xdr:cNvSpPr txBox="1"/>
      </xdr:nvSpPr>
      <xdr:spPr>
        <a:xfrm>
          <a:off x="1817936" y="8382225"/>
          <a:ext cx="16018260" cy="31326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1816100" y="5829300"/>
          <a:ext cx="1605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9</xdr:col>
      <xdr:colOff>0</xdr:colOff>
      <xdr:row>12</xdr:row>
      <xdr:rowOff>482600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552169" y="7099525"/>
          <a:ext cx="17295265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16933</xdr:colOff>
      <xdr:row>10</xdr:row>
      <xdr:rowOff>177800</xdr:rowOff>
    </xdr:from>
    <xdr:to>
      <xdr:col>2</xdr:col>
      <xdr:colOff>1295400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AA3F8C-0E4A-8E4F-901C-670E7FD21687}"/>
            </a:ext>
          </a:extLst>
        </xdr:cNvPr>
        <xdr:cNvSpPr txBox="1"/>
      </xdr:nvSpPr>
      <xdr:spPr>
        <a:xfrm>
          <a:off x="558800" y="5867400"/>
          <a:ext cx="1278467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14</xdr:row>
      <xdr:rowOff>177800</xdr:rowOff>
    </xdr:from>
    <xdr:to>
      <xdr:col>2</xdr:col>
      <xdr:colOff>1282700</xdr:colOff>
      <xdr:row>14</xdr:row>
      <xdr:rowOff>495299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D1850A4-D2C4-8446-AE06-744D812B74D3}"/>
            </a:ext>
          </a:extLst>
        </xdr:cNvPr>
        <xdr:cNvSpPr txBox="1"/>
      </xdr:nvSpPr>
      <xdr:spPr>
        <a:xfrm>
          <a:off x="550333" y="8424333"/>
          <a:ext cx="1274234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2085975</xdr:colOff>
      <xdr:row>1</xdr:row>
      <xdr:rowOff>800100</xdr:rowOff>
    </xdr:from>
    <xdr:to>
      <xdr:col>8</xdr:col>
      <xdr:colOff>2028825</xdr:colOff>
      <xdr:row>3</xdr:row>
      <xdr:rowOff>676275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53DE51-7170-4E52-BEFB-0CA61EAA93D2}"/>
            </a:ext>
            <a:ext uri="{147F2762-F138-4A5C-976F-8EAC2B608ADB}">
              <a16:predDERef xmlns:a16="http://schemas.microsoft.com/office/drawing/2014/main" pred="{7D1850A4-D2C4-8446-AE06-744D812B7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1775" y="990600"/>
          <a:ext cx="2266950" cy="1076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1279550</xdr:colOff>
      <xdr:row>12</xdr:row>
      <xdr:rowOff>165100</xdr:rowOff>
    </xdr:from>
    <xdr:to>
      <xdr:col>8</xdr:col>
      <xdr:colOff>2463801</xdr:colOff>
      <xdr:row>12</xdr:row>
      <xdr:rowOff>482600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372A26-E0C4-9240-941E-73A57B6BD8C1}"/>
            </a:ext>
          </a:extLst>
        </xdr:cNvPr>
        <xdr:cNvSpPr txBox="1"/>
      </xdr:nvSpPr>
      <xdr:spPr>
        <a:xfrm>
          <a:off x="1814287" y="7097581"/>
          <a:ext cx="16023198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14</xdr:row>
      <xdr:rowOff>177800</xdr:rowOff>
    </xdr:from>
    <xdr:to>
      <xdr:col>5</xdr:col>
      <xdr:colOff>0</xdr:colOff>
      <xdr:row>14</xdr:row>
      <xdr:rowOff>495300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19C5105-90B8-FE49-991A-46DB5FD47F02}"/>
            </a:ext>
          </a:extLst>
        </xdr:cNvPr>
        <xdr:cNvSpPr txBox="1"/>
      </xdr:nvSpPr>
      <xdr:spPr>
        <a:xfrm>
          <a:off x="558800" y="8369300"/>
          <a:ext cx="7404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1282700</xdr:colOff>
      <xdr:row>8</xdr:row>
      <xdr:rowOff>177800</xdr:rowOff>
    </xdr:from>
    <xdr:to>
      <xdr:col>9</xdr:col>
      <xdr:colOff>0</xdr:colOff>
      <xdr:row>8</xdr:row>
      <xdr:rowOff>495300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1816100" y="4559300"/>
          <a:ext cx="1605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177800</xdr:rowOff>
    </xdr:from>
    <xdr:to>
      <xdr:col>2</xdr:col>
      <xdr:colOff>1282700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12DEC5-6124-7F40-9B58-396DC90D1260}"/>
            </a:ext>
          </a:extLst>
        </xdr:cNvPr>
        <xdr:cNvSpPr txBox="1"/>
      </xdr:nvSpPr>
      <xdr:spPr>
        <a:xfrm>
          <a:off x="558800" y="45593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9</xdr:col>
      <xdr:colOff>0</xdr:colOff>
      <xdr:row>10</xdr:row>
      <xdr:rowOff>495299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546100" y="5829300"/>
          <a:ext cx="173228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12700</xdr:colOff>
      <xdr:row>12</xdr:row>
      <xdr:rowOff>165100</xdr:rowOff>
    </xdr:from>
    <xdr:to>
      <xdr:col>2</xdr:col>
      <xdr:colOff>1270000</xdr:colOff>
      <xdr:row>12</xdr:row>
      <xdr:rowOff>482599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87E4F-0784-9A43-8E22-DF62F9184C85}"/>
            </a:ext>
          </a:extLst>
        </xdr:cNvPr>
        <xdr:cNvSpPr txBox="1"/>
      </xdr:nvSpPr>
      <xdr:spPr>
        <a:xfrm>
          <a:off x="546100" y="70866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6</xdr:row>
      <xdr:rowOff>177800</xdr:rowOff>
    </xdr:from>
    <xdr:to>
      <xdr:col>8</xdr:col>
      <xdr:colOff>2463800</xdr:colOff>
      <xdr:row>6</xdr:row>
      <xdr:rowOff>495300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ED02743-726E-C84F-BF7A-287B847B7F74}"/>
            </a:ext>
          </a:extLst>
        </xdr:cNvPr>
        <xdr:cNvSpPr txBox="1"/>
      </xdr:nvSpPr>
      <xdr:spPr>
        <a:xfrm>
          <a:off x="546100" y="3289300"/>
          <a:ext cx="17310100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2076450</xdr:colOff>
      <xdr:row>1</xdr:row>
      <xdr:rowOff>809625</xdr:rowOff>
    </xdr:from>
    <xdr:to>
      <xdr:col>8</xdr:col>
      <xdr:colOff>2019300</xdr:colOff>
      <xdr:row>3</xdr:row>
      <xdr:rowOff>685800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36E86C-F112-44BD-B2C1-56D946D4D0F4}"/>
            </a:ext>
            <a:ext uri="{147F2762-F138-4A5C-976F-8EAC2B608ADB}">
              <a16:predDERef xmlns:a16="http://schemas.microsoft.com/office/drawing/2014/main" pred="{5ED02743-726E-C84F-BF7A-287B847B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2250" y="1000125"/>
          <a:ext cx="2266950" cy="1076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1290320</xdr:colOff>
      <xdr:row>12</xdr:row>
      <xdr:rowOff>152399</xdr:rowOff>
    </xdr:from>
    <xdr:to>
      <xdr:col>8</xdr:col>
      <xdr:colOff>2468880</xdr:colOff>
      <xdr:row>12</xdr:row>
      <xdr:rowOff>467360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4454D0-39B0-BF48-9DC5-43DBC3E35179}"/>
            </a:ext>
          </a:extLst>
        </xdr:cNvPr>
        <xdr:cNvSpPr txBox="1"/>
      </xdr:nvSpPr>
      <xdr:spPr>
        <a:xfrm>
          <a:off x="1818640" y="7081519"/>
          <a:ext cx="16052800" cy="31496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</xdr:colOff>
      <xdr:row>6</xdr:row>
      <xdr:rowOff>203200</xdr:rowOff>
    </xdr:from>
    <xdr:to>
      <xdr:col>9</xdr:col>
      <xdr:colOff>0</xdr:colOff>
      <xdr:row>6</xdr:row>
      <xdr:rowOff>520699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7978140" y="3322320"/>
          <a:ext cx="990346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1270000</xdr:colOff>
      <xdr:row>8</xdr:row>
      <xdr:rowOff>190500</xdr:rowOff>
    </xdr:from>
    <xdr:to>
      <xdr:col>9</xdr:col>
      <xdr:colOff>0</xdr:colOff>
      <xdr:row>8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1803400" y="4572000"/>
          <a:ext cx="16065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558800" y="5829300"/>
          <a:ext cx="173101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190500</xdr:rowOff>
    </xdr:from>
    <xdr:to>
      <xdr:col>2</xdr:col>
      <xdr:colOff>1270000</xdr:colOff>
      <xdr:row>8</xdr:row>
      <xdr:rowOff>507999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46100" y="4572000"/>
          <a:ext cx="12573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152400</xdr:rowOff>
    </xdr:from>
    <xdr:to>
      <xdr:col>2</xdr:col>
      <xdr:colOff>1282700</xdr:colOff>
      <xdr:row>12</xdr:row>
      <xdr:rowOff>469899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B73B06F-77DE-5D44-A6D4-28849B28EC09}"/>
            </a:ext>
          </a:extLst>
        </xdr:cNvPr>
        <xdr:cNvSpPr txBox="1"/>
      </xdr:nvSpPr>
      <xdr:spPr>
        <a:xfrm>
          <a:off x="558800" y="7073900"/>
          <a:ext cx="1257300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190500</xdr:rowOff>
    </xdr:from>
    <xdr:to>
      <xdr:col>7</xdr:col>
      <xdr:colOff>0</xdr:colOff>
      <xdr:row>14</xdr:row>
      <xdr:rowOff>495300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D3802-A3CB-C248-8EAB-8781C9FF3230}"/>
            </a:ext>
          </a:extLst>
        </xdr:cNvPr>
        <xdr:cNvSpPr txBox="1"/>
      </xdr:nvSpPr>
      <xdr:spPr>
        <a:xfrm>
          <a:off x="528320" y="8389620"/>
          <a:ext cx="12395200" cy="3048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2114550</xdr:colOff>
      <xdr:row>1</xdr:row>
      <xdr:rowOff>790575</xdr:rowOff>
    </xdr:from>
    <xdr:to>
      <xdr:col>8</xdr:col>
      <xdr:colOff>2057400</xdr:colOff>
      <xdr:row>3</xdr:row>
      <xdr:rowOff>666750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6BB57-0F94-47FF-89B4-2365B14437D7}"/>
            </a:ext>
            <a:ext uri="{147F2762-F138-4A5C-976F-8EAC2B608ADB}">
              <a16:predDERef xmlns:a16="http://schemas.microsoft.com/office/drawing/2014/main" pred="{A0FD3802-A3CB-C248-8EAB-8781C9FF3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0350" y="981075"/>
          <a:ext cx="2266950" cy="1076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1206500</xdr:colOff>
      <xdr:row>12</xdr:row>
      <xdr:rowOff>165100</xdr:rowOff>
    </xdr:from>
    <xdr:to>
      <xdr:col>9</xdr:col>
      <xdr:colOff>0</xdr:colOff>
      <xdr:row>12</xdr:row>
      <xdr:rowOff>489503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BFE965E-5C0F-C247-B69B-6C3F5D41A417}"/>
            </a:ext>
          </a:extLst>
        </xdr:cNvPr>
        <xdr:cNvSpPr txBox="1"/>
      </xdr:nvSpPr>
      <xdr:spPr>
        <a:xfrm>
          <a:off x="1739900" y="7086600"/>
          <a:ext cx="16129000" cy="32440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1185333</xdr:colOff>
      <xdr:row>8</xdr:row>
      <xdr:rowOff>185673</xdr:rowOff>
    </xdr:from>
    <xdr:to>
      <xdr:col>9</xdr:col>
      <xdr:colOff>0</xdr:colOff>
      <xdr:row>8</xdr:row>
      <xdr:rowOff>517408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1712148" y="4560117"/>
          <a:ext cx="16133704" cy="33173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1</xdr:col>
      <xdr:colOff>265709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531418" y="5843261"/>
          <a:ext cx="17338653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7427</xdr:colOff>
      <xdr:row>12</xdr:row>
      <xdr:rowOff>165100</xdr:rowOff>
    </xdr:from>
    <xdr:to>
      <xdr:col>2</xdr:col>
      <xdr:colOff>1206500</xdr:colOff>
      <xdr:row>12</xdr:row>
      <xdr:rowOff>482599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7EB9C2-ACE5-364A-8AB0-42E02D3E0DD4}"/>
            </a:ext>
          </a:extLst>
        </xdr:cNvPr>
        <xdr:cNvSpPr txBox="1"/>
      </xdr:nvSpPr>
      <xdr:spPr>
        <a:xfrm>
          <a:off x="542164" y="7086971"/>
          <a:ext cx="1199073" cy="3174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7427</xdr:colOff>
      <xdr:row>14</xdr:row>
      <xdr:rowOff>177800</xdr:rowOff>
    </xdr:from>
    <xdr:to>
      <xdr:col>8</xdr:col>
      <xdr:colOff>2472445</xdr:colOff>
      <xdr:row>14</xdr:row>
      <xdr:rowOff>495299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A644CE1-C038-9D4B-9117-890D6048DBE3}"/>
            </a:ext>
          </a:extLst>
        </xdr:cNvPr>
        <xdr:cNvSpPr txBox="1"/>
      </xdr:nvSpPr>
      <xdr:spPr>
        <a:xfrm>
          <a:off x="538845" y="8392268"/>
          <a:ext cx="1732672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2</xdr:col>
      <xdr:colOff>1193800</xdr:colOff>
      <xdr:row>16</xdr:row>
      <xdr:rowOff>177800</xdr:rowOff>
    </xdr:from>
    <xdr:to>
      <xdr:col>3</xdr:col>
      <xdr:colOff>12699</xdr:colOff>
      <xdr:row>16</xdr:row>
      <xdr:rowOff>499533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486044-D551-544B-8624-9DE055961795}"/>
            </a:ext>
          </a:extLst>
        </xdr:cNvPr>
        <xdr:cNvSpPr txBox="1"/>
      </xdr:nvSpPr>
      <xdr:spPr>
        <a:xfrm>
          <a:off x="1735667" y="9702800"/>
          <a:ext cx="1299632" cy="3217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7426</xdr:colOff>
      <xdr:row>6</xdr:row>
      <xdr:rowOff>203201</xdr:rowOff>
    </xdr:from>
    <xdr:to>
      <xdr:col>8</xdr:col>
      <xdr:colOff>2463799</xdr:colOff>
      <xdr:row>6</xdr:row>
      <xdr:rowOff>520701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EF44D69-724A-7748-91AD-D46EF7C9A42B}"/>
            </a:ext>
          </a:extLst>
        </xdr:cNvPr>
        <xdr:cNvSpPr txBox="1"/>
      </xdr:nvSpPr>
      <xdr:spPr>
        <a:xfrm>
          <a:off x="12907952" y="3315072"/>
          <a:ext cx="4929531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7426</xdr:colOff>
      <xdr:row>8</xdr:row>
      <xdr:rowOff>190500</xdr:rowOff>
    </xdr:from>
    <xdr:to>
      <xdr:col>2</xdr:col>
      <xdr:colOff>1181099</xdr:colOff>
      <xdr:row>8</xdr:row>
      <xdr:rowOff>507999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8846E68-7BA6-4A4D-A75F-505F7B60F9E1}"/>
            </a:ext>
          </a:extLst>
        </xdr:cNvPr>
        <xdr:cNvSpPr txBox="1"/>
      </xdr:nvSpPr>
      <xdr:spPr>
        <a:xfrm>
          <a:off x="542163" y="4572371"/>
          <a:ext cx="1173673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16</xdr:row>
      <xdr:rowOff>177800</xdr:rowOff>
    </xdr:from>
    <xdr:to>
      <xdr:col>2</xdr:col>
      <xdr:colOff>1193800</xdr:colOff>
      <xdr:row>16</xdr:row>
      <xdr:rowOff>495299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D680163-9201-EF41-B796-B203270B7B82}"/>
            </a:ext>
          </a:extLst>
        </xdr:cNvPr>
        <xdr:cNvSpPr txBox="1"/>
      </xdr:nvSpPr>
      <xdr:spPr>
        <a:xfrm>
          <a:off x="546100" y="9639300"/>
          <a:ext cx="11811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2114550</xdr:colOff>
      <xdr:row>1</xdr:row>
      <xdr:rowOff>781050</xdr:rowOff>
    </xdr:from>
    <xdr:to>
      <xdr:col>8</xdr:col>
      <xdr:colOff>2057400</xdr:colOff>
      <xdr:row>3</xdr:row>
      <xdr:rowOff>657225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8BB215-044F-4E32-9796-D90EC5F103AC}"/>
            </a:ext>
            <a:ext uri="{147F2762-F138-4A5C-976F-8EAC2B608ADB}">
              <a16:predDERef xmlns:a16="http://schemas.microsoft.com/office/drawing/2014/main" pred="{DD680163-9201-EF41-B796-B203270B7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0350" y="971550"/>
          <a:ext cx="226695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I22"/>
  <sheetViews>
    <sheetView showGridLines="0" tabSelected="1" zoomScale="60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/>
    <row r="2" spans="2:9" ht="75" customHeight="1" thickTop="1" x14ac:dyDescent="0.15">
      <c r="C2" s="173" t="s">
        <v>0</v>
      </c>
      <c r="D2" s="174"/>
      <c r="E2" s="174"/>
      <c r="F2" s="174"/>
      <c r="G2" s="174"/>
      <c r="H2" s="174"/>
      <c r="I2" s="175"/>
    </row>
    <row r="3" spans="2:9" s="17" customFormat="1" ht="20" customHeight="1" x14ac:dyDescent="0.15">
      <c r="C3" s="18" t="s">
        <v>1</v>
      </c>
      <c r="D3" s="149">
        <v>2025</v>
      </c>
      <c r="E3" s="20" t="s">
        <v>2</v>
      </c>
      <c r="F3" s="19" t="s">
        <v>3</v>
      </c>
      <c r="G3" s="21" t="s">
        <v>4</v>
      </c>
      <c r="H3" s="22"/>
      <c r="I3" s="23"/>
    </row>
    <row r="4" spans="2:9" ht="75" customHeight="1" x14ac:dyDescent="0.65">
      <c r="C4" s="151">
        <f>CalendarYear</f>
        <v>2025</v>
      </c>
      <c r="D4" s="179" t="s">
        <v>5</v>
      </c>
      <c r="E4" s="179"/>
      <c r="F4" s="179"/>
      <c r="G4" s="179"/>
      <c r="H4" s="179"/>
      <c r="I4" s="150"/>
    </row>
    <row r="5" spans="2:9" s="2" customFormat="1" ht="35" customHeight="1" x14ac:dyDescent="0.15">
      <c r="B5" s="86"/>
      <c r="C5" s="14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1"/>
      <c r="C6" s="132">
        <f t="array" ref="C6:I6">DaysAndWeeks+DATE(CalendarYear,1,1)-WEEKDAY(DATE(CalendarYear,1,1),(WeekStart="M")+1)+1</f>
        <v>45655</v>
      </c>
      <c r="D6" s="26">
        <v>45656</v>
      </c>
      <c r="E6" s="26">
        <v>45657</v>
      </c>
      <c r="F6" s="26">
        <v>45658</v>
      </c>
      <c r="G6" s="154">
        <v>45659</v>
      </c>
      <c r="H6" s="26">
        <v>45660</v>
      </c>
      <c r="I6" s="27">
        <v>45661</v>
      </c>
    </row>
    <row r="7" spans="2:9" s="6" customFormat="1" ht="75" customHeight="1" x14ac:dyDescent="0.15">
      <c r="B7" s="79"/>
      <c r="C7" s="128">
        <v>0.625</v>
      </c>
      <c r="D7" s="9"/>
      <c r="E7" s="155"/>
      <c r="F7" s="9"/>
      <c r="G7" s="156"/>
      <c r="H7" s="7"/>
      <c r="I7" s="8"/>
    </row>
    <row r="8" spans="2:9" s="36" customFormat="1" ht="25" customHeight="1" x14ac:dyDescent="0.2">
      <c r="B8" s="81"/>
      <c r="C8" s="24">
        <f t="array" ref="C8:I8">DaysAndWeeks+DATE(CalendarYear,1,1)-WEEKDAY(DATE(CalendarYear,1,1),(WeekStart="M")+1)+8</f>
        <v>45662</v>
      </c>
      <c r="D8" s="153">
        <v>45663</v>
      </c>
      <c r="E8" s="153">
        <v>45664</v>
      </c>
      <c r="F8" s="153">
        <v>45665</v>
      </c>
      <c r="G8" s="153">
        <v>45666</v>
      </c>
      <c r="H8" s="117">
        <v>45667</v>
      </c>
      <c r="I8" s="27">
        <v>45668</v>
      </c>
    </row>
    <row r="9" spans="2:9" s="6" customFormat="1" ht="75" customHeight="1" x14ac:dyDescent="0.15">
      <c r="B9" s="79"/>
      <c r="C9" s="128"/>
      <c r="D9" s="12"/>
      <c r="E9" s="129"/>
      <c r="F9" s="12"/>
      <c r="G9" s="131"/>
      <c r="H9" s="9"/>
      <c r="I9" s="10"/>
    </row>
    <row r="10" spans="2:9" s="36" customFormat="1" ht="25" customHeight="1" x14ac:dyDescent="0.2">
      <c r="B10" s="81"/>
      <c r="C10" s="24">
        <f t="array" ref="C10:I10">DaysAndWeeks+DATE(CalendarYear,1,1)-WEEKDAY(DATE(CalendarYear,1,1),(WeekStart="M")+1)+15</f>
        <v>45669</v>
      </c>
      <c r="D10" s="25">
        <v>45670</v>
      </c>
      <c r="E10" s="25">
        <v>45671</v>
      </c>
      <c r="F10" s="25">
        <v>45672</v>
      </c>
      <c r="G10" s="28">
        <v>45673</v>
      </c>
      <c r="H10" s="29">
        <v>45674</v>
      </c>
      <c r="I10" s="27">
        <v>45675</v>
      </c>
    </row>
    <row r="11" spans="2:9" s="6" customFormat="1" ht="75" customHeight="1" x14ac:dyDescent="0.15">
      <c r="B11" s="79"/>
      <c r="C11" s="128">
        <v>0.625</v>
      </c>
      <c r="D11" s="12"/>
      <c r="E11" s="129"/>
      <c r="F11" s="12"/>
      <c r="G11" s="130"/>
      <c r="H11" s="11"/>
      <c r="I11" s="8"/>
    </row>
    <row r="12" spans="2:9" s="36" customFormat="1" ht="25" customHeight="1" x14ac:dyDescent="0.2">
      <c r="B12" s="81"/>
      <c r="C12" s="24">
        <f t="array" ref="C12:I12">DaysAndWeeks+DATE(CalendarYear,1,1)-WEEKDAY(DATE(CalendarYear,1,1),(WeekStart="M")+1)+22</f>
        <v>45676</v>
      </c>
      <c r="D12" s="25">
        <v>45677</v>
      </c>
      <c r="E12" s="25">
        <v>45678</v>
      </c>
      <c r="F12" s="25">
        <v>45679</v>
      </c>
      <c r="G12" s="25">
        <v>45680</v>
      </c>
      <c r="H12" s="26">
        <v>45681</v>
      </c>
      <c r="I12" s="27">
        <v>45682</v>
      </c>
    </row>
    <row r="13" spans="2:9" s="6" customFormat="1" ht="75" customHeight="1" x14ac:dyDescent="0.15">
      <c r="B13" s="79"/>
      <c r="C13" s="128"/>
      <c r="D13" s="12"/>
      <c r="E13" s="129"/>
      <c r="F13" s="12"/>
      <c r="G13" s="131"/>
      <c r="H13" s="9"/>
      <c r="I13" s="10"/>
    </row>
    <row r="14" spans="2:9" s="36" customFormat="1" ht="25" customHeight="1" x14ac:dyDescent="0.2">
      <c r="B14" s="81"/>
      <c r="C14" s="24">
        <f t="array" ref="C14:I14">DaysAndWeeks+DATE(CalendarYear,1,1)-WEEKDAY(DATE(CalendarYear,1,1),(WeekStart="M")+1)+29</f>
        <v>45683</v>
      </c>
      <c r="D14" s="25">
        <v>45684</v>
      </c>
      <c r="E14" s="25">
        <v>45685</v>
      </c>
      <c r="F14" s="30">
        <v>45686</v>
      </c>
      <c r="G14" s="30">
        <v>45687</v>
      </c>
      <c r="H14" s="30">
        <v>45688</v>
      </c>
      <c r="I14" s="31">
        <v>45689</v>
      </c>
    </row>
    <row r="15" spans="2:9" s="6" customFormat="1" ht="75" customHeight="1" x14ac:dyDescent="0.15">
      <c r="B15" s="79"/>
      <c r="C15" s="128">
        <v>0.625</v>
      </c>
      <c r="D15" s="12"/>
      <c r="E15" s="129"/>
      <c r="F15" s="3"/>
      <c r="G15" s="158"/>
      <c r="H15" s="159"/>
      <c r="I15" s="160"/>
    </row>
    <row r="16" spans="2:9" s="36" customFormat="1" ht="25" customHeight="1" x14ac:dyDescent="0.2">
      <c r="B16" s="81"/>
      <c r="C16" s="161">
        <f t="array" ref="C16:I16">DaysAndWeeks+DATE(CalendarYear,1,1)-WEEKDAY(DATE(CalendarYear,1,1),(WeekStart="M")+1)+36</f>
        <v>45690</v>
      </c>
      <c r="D16" s="30">
        <v>45691</v>
      </c>
      <c r="E16" s="30">
        <v>45692</v>
      </c>
      <c r="F16" s="30">
        <v>45693</v>
      </c>
      <c r="G16" s="30">
        <v>45694</v>
      </c>
      <c r="H16" s="30">
        <v>45695</v>
      </c>
      <c r="I16" s="31">
        <v>45696</v>
      </c>
    </row>
    <row r="17" spans="2:9" s="6" customFormat="1" ht="75" customHeight="1" x14ac:dyDescent="0.2">
      <c r="B17" s="79"/>
      <c r="C17" s="162"/>
      <c r="D17" s="4"/>
      <c r="E17" s="4"/>
      <c r="F17" s="4"/>
      <c r="G17" s="4"/>
      <c r="H17" s="4"/>
      <c r="I17" s="5"/>
    </row>
    <row r="18" spans="2:9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:I17 C18">
    <cfRule type="expression" dxfId="37" priority="4">
      <formula>AND(DAY(C14)&gt;=1,DAY(C14)&lt;=15)</formula>
    </cfRule>
  </conditionalFormatting>
  <dataValidations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50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3" t="s">
        <v>0</v>
      </c>
      <c r="D2" s="174"/>
      <c r="E2" s="174"/>
      <c r="F2" s="174"/>
      <c r="G2" s="174"/>
      <c r="H2" s="174"/>
      <c r="I2" s="175"/>
    </row>
    <row r="3" spans="2:9" ht="20" customHeight="1" x14ac:dyDescent="0.15">
      <c r="B3" s="80"/>
      <c r="C3" s="52"/>
      <c r="D3" s="33"/>
      <c r="E3" s="33"/>
      <c r="F3" s="33"/>
      <c r="G3" s="52" t="s">
        <v>7</v>
      </c>
      <c r="H3" s="52" t="s">
        <v>8</v>
      </c>
      <c r="I3" s="93"/>
    </row>
    <row r="4" spans="2:9" ht="75" customHeight="1" x14ac:dyDescent="0.65">
      <c r="B4" s="80"/>
      <c r="C4" s="151">
        <f>CalendarYear</f>
        <v>2025</v>
      </c>
      <c r="D4" s="180" t="s">
        <v>9</v>
      </c>
      <c r="E4" s="180"/>
      <c r="F4" s="180"/>
      <c r="G4" s="180"/>
      <c r="H4" s="180"/>
      <c r="I4" s="152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8" customFormat="1" ht="25" customHeight="1" x14ac:dyDescent="0.2">
      <c r="B6" s="83"/>
      <c r="C6" s="54">
        <f t="array" ref="C6:I6">DaysAndWeeks+DATE(CalendarYear,2,1)-WEEKDAY(DATE(CalendarYear,2,1),(WeekStart="M")+1)+1</f>
        <v>45683</v>
      </c>
      <c r="D6" s="44">
        <v>45684</v>
      </c>
      <c r="E6" s="39">
        <v>45685</v>
      </c>
      <c r="F6" s="117">
        <v>45686</v>
      </c>
      <c r="G6" s="117">
        <v>45687</v>
      </c>
      <c r="H6" s="117">
        <v>45688</v>
      </c>
      <c r="I6" s="118">
        <v>45689</v>
      </c>
    </row>
    <row r="7" spans="2:9" s="6" customFormat="1" ht="75" customHeight="1" x14ac:dyDescent="0.15">
      <c r="B7" s="79"/>
      <c r="C7" s="53"/>
      <c r="D7" s="35"/>
      <c r="E7" s="157"/>
      <c r="F7" s="119"/>
      <c r="G7" s="134"/>
      <c r="H7" s="119"/>
      <c r="I7" s="120"/>
    </row>
    <row r="8" spans="2:9" s="38" customFormat="1" ht="25" customHeight="1" x14ac:dyDescent="0.2">
      <c r="B8" s="83"/>
      <c r="C8" s="123">
        <f t="array" ref="C8:I8">DaysAndWeeks+DATE(CalendarYear,2,1)-WEEKDAY(DATE(CalendarYear,2,1),(WeekStart="M")+1)+8</f>
        <v>45690</v>
      </c>
      <c r="D8" s="117">
        <v>45691</v>
      </c>
      <c r="E8" s="121">
        <v>45692</v>
      </c>
      <c r="F8" s="121">
        <v>45693</v>
      </c>
      <c r="G8" s="121">
        <v>45694</v>
      </c>
      <c r="H8" s="121">
        <v>45695</v>
      </c>
      <c r="I8" s="118">
        <v>45696</v>
      </c>
    </row>
    <row r="9" spans="2:9" s="57" customFormat="1" ht="75" customHeight="1" x14ac:dyDescent="0.15">
      <c r="B9" s="88"/>
      <c r="C9" s="135"/>
      <c r="D9" s="56"/>
      <c r="E9" s="136"/>
      <c r="F9" s="122"/>
      <c r="G9" s="136"/>
      <c r="H9" s="122"/>
      <c r="I9" s="89"/>
    </row>
    <row r="10" spans="2:9" s="38" customFormat="1" ht="25" customHeight="1" x14ac:dyDescent="0.2">
      <c r="B10" s="83"/>
      <c r="C10" s="123">
        <f t="array" ref="C10:I10">DaysAndWeeks+DATE(CalendarYear,2,1)-WEEKDAY(DATE(CalendarYear,2,1),(WeekStart="M")+1)+15</f>
        <v>45697</v>
      </c>
      <c r="D10" s="117">
        <v>45698</v>
      </c>
      <c r="E10" s="117">
        <v>45699</v>
      </c>
      <c r="F10" s="117">
        <v>45700</v>
      </c>
      <c r="G10" s="117">
        <v>45701</v>
      </c>
      <c r="H10" s="117">
        <v>45702</v>
      </c>
      <c r="I10" s="118">
        <v>45703</v>
      </c>
    </row>
    <row r="11" spans="2:9" s="57" customFormat="1" ht="75" customHeight="1" x14ac:dyDescent="0.15">
      <c r="B11" s="88"/>
      <c r="C11" s="135">
        <v>0.625</v>
      </c>
      <c r="D11" s="144"/>
      <c r="E11" s="137"/>
      <c r="F11" s="144"/>
      <c r="G11" s="137"/>
      <c r="H11" s="56"/>
      <c r="I11" s="89"/>
    </row>
    <row r="12" spans="2:9" s="36" customFormat="1" ht="25" customHeight="1" x14ac:dyDescent="0.2">
      <c r="B12" s="81"/>
      <c r="C12" s="123">
        <f t="array" ref="C12:I12">DaysAndWeeks+DATE(CalendarYear,2,1)-WEEKDAY(DATE(CalendarYear,2,1),(WeekStart="M")+1)+22</f>
        <v>45704</v>
      </c>
      <c r="D12" s="117">
        <v>45705</v>
      </c>
      <c r="E12" s="117">
        <v>45706</v>
      </c>
      <c r="F12" s="117">
        <v>45707</v>
      </c>
      <c r="G12" s="117">
        <v>45708</v>
      </c>
      <c r="H12" s="117">
        <v>45709</v>
      </c>
      <c r="I12" s="118">
        <v>45710</v>
      </c>
    </row>
    <row r="13" spans="2:9" s="57" customFormat="1" ht="75" customHeight="1" x14ac:dyDescent="0.15">
      <c r="B13" s="88"/>
      <c r="C13" s="135"/>
      <c r="D13" s="56"/>
      <c r="E13" s="137"/>
      <c r="F13" s="56"/>
      <c r="G13" s="137"/>
      <c r="H13" s="56"/>
      <c r="I13" s="89"/>
    </row>
    <row r="14" spans="2:9" s="36" customFormat="1" ht="25" customHeight="1" x14ac:dyDescent="0.2">
      <c r="B14" s="81"/>
      <c r="C14" s="123">
        <f t="array" ref="C14:I14">DaysAndWeeks+DATE(CalendarYear,2,1)-WEEKDAY(DATE(CalendarYear,2,1),(WeekStart="M")+1)+29</f>
        <v>45711</v>
      </c>
      <c r="D14" s="117">
        <v>45712</v>
      </c>
      <c r="E14" s="117">
        <v>45713</v>
      </c>
      <c r="F14" s="43">
        <v>45714</v>
      </c>
      <c r="G14" s="43">
        <v>45715</v>
      </c>
      <c r="H14" s="43">
        <v>45716</v>
      </c>
      <c r="I14" s="90">
        <v>45717</v>
      </c>
    </row>
    <row r="15" spans="2:9" s="57" customFormat="1" ht="75" customHeight="1" x14ac:dyDescent="0.15">
      <c r="B15" s="88"/>
      <c r="C15" s="135">
        <v>0.625</v>
      </c>
      <c r="D15" s="56"/>
      <c r="E15" s="163"/>
      <c r="F15" s="60"/>
      <c r="G15" s="60"/>
      <c r="H15" s="60"/>
      <c r="I15" s="91"/>
    </row>
    <row r="16" spans="2:9" s="36" customFormat="1" ht="25" customHeight="1" x14ac:dyDescent="0.2">
      <c r="B16" s="81"/>
      <c r="C16" s="87">
        <f t="array" ref="C16:I16">DaysAndWeeks+DATE(CalendarYear,2,1)-WEEKDAY(DATE(CalendarYear,2,1),(WeekStart="M")+1)+36</f>
        <v>45718</v>
      </c>
      <c r="D16" s="42">
        <v>45719</v>
      </c>
      <c r="E16" s="42">
        <v>45720</v>
      </c>
      <c r="F16" s="42">
        <v>45721</v>
      </c>
      <c r="G16" s="42">
        <v>45722</v>
      </c>
      <c r="H16" s="42">
        <v>45723</v>
      </c>
      <c r="I16" s="92">
        <v>45724</v>
      </c>
    </row>
    <row r="17" spans="2:9" s="6" customFormat="1" ht="75" customHeight="1" x14ac:dyDescent="0.15">
      <c r="B17" s="79"/>
      <c r="C17" s="53"/>
      <c r="D17" s="3"/>
      <c r="E17" s="3"/>
      <c r="F17" s="3"/>
      <c r="G17" s="3"/>
      <c r="H17" s="3"/>
      <c r="I17" s="99"/>
    </row>
    <row r="18" spans="2:9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C15:D15 F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I21"/>
  <sheetViews>
    <sheetView showGridLines="0" zoomScale="75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15">
      <c r="B3" s="80"/>
      <c r="C3" s="34"/>
      <c r="D3" s="32"/>
      <c r="E3" s="32"/>
      <c r="F3" s="33"/>
      <c r="G3" s="52" t="s">
        <v>10</v>
      </c>
      <c r="H3" s="52" t="s">
        <v>11</v>
      </c>
      <c r="I3" s="97"/>
    </row>
    <row r="4" spans="2:9" ht="75" customHeight="1" x14ac:dyDescent="0.65">
      <c r="B4" s="80"/>
      <c r="C4" s="151">
        <f>CalendarYear</f>
        <v>2025</v>
      </c>
      <c r="D4" s="180" t="s">
        <v>12</v>
      </c>
      <c r="E4" s="180"/>
      <c r="F4" s="180"/>
      <c r="G4" s="180"/>
      <c r="H4" s="180"/>
      <c r="I4" s="152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1"/>
      <c r="C6" s="69">
        <f t="array" ref="C6:I6">DaysAndWeeks+DATE(CalendarYear,3,1)-WEEKDAY(DATE(CalendarYear,3,1),(WeekStart="M")+1)+1</f>
        <v>45711</v>
      </c>
      <c r="D6" s="39">
        <v>45712</v>
      </c>
      <c r="E6" s="39">
        <v>45713</v>
      </c>
      <c r="F6" s="37">
        <v>45714</v>
      </c>
      <c r="G6" s="37">
        <v>45715</v>
      </c>
      <c r="H6" s="37">
        <v>45716</v>
      </c>
      <c r="I6" s="73">
        <v>45717</v>
      </c>
    </row>
    <row r="7" spans="2:9" s="57" customFormat="1" ht="75" customHeight="1" x14ac:dyDescent="0.15">
      <c r="B7" s="88"/>
      <c r="C7" s="98"/>
      <c r="D7" s="59"/>
      <c r="E7" s="147"/>
      <c r="F7" s="56"/>
      <c r="G7" s="137"/>
      <c r="H7" s="56"/>
      <c r="I7" s="89"/>
    </row>
    <row r="8" spans="2:9" s="36" customFormat="1" ht="25" customHeight="1" x14ac:dyDescent="0.2">
      <c r="B8" s="81"/>
      <c r="C8" s="40">
        <f t="array" ref="C8:I8">DaysAndWeeks+DATE(CalendarYear,3,1)-WEEKDAY(DATE(CalendarYear,3,1),(WeekStart="M")+1)+8</f>
        <v>45718</v>
      </c>
      <c r="D8" s="37">
        <v>45719</v>
      </c>
      <c r="E8" s="37">
        <v>45720</v>
      </c>
      <c r="F8" s="37">
        <v>45721</v>
      </c>
      <c r="G8" s="40">
        <v>45722</v>
      </c>
      <c r="H8" s="37">
        <v>45723</v>
      </c>
      <c r="I8" s="73">
        <v>45724</v>
      </c>
    </row>
    <row r="9" spans="2:9" s="57" customFormat="1" ht="75" customHeight="1" x14ac:dyDescent="0.15">
      <c r="B9" s="88"/>
      <c r="C9" s="135"/>
      <c r="D9" s="56"/>
      <c r="E9" s="137"/>
      <c r="F9" s="56"/>
      <c r="G9" s="138"/>
      <c r="H9" s="56"/>
      <c r="I9" s="89"/>
    </row>
    <row r="10" spans="2:9" s="36" customFormat="1" ht="25" customHeight="1" x14ac:dyDescent="0.2">
      <c r="B10" s="81"/>
      <c r="C10" s="40">
        <f t="array" ref="C10:I10">DaysAndWeeks+DATE(CalendarYear,3,1)-WEEKDAY(DATE(CalendarYear,3,1),(WeekStart="M")+1)+15</f>
        <v>45725</v>
      </c>
      <c r="D10" s="37">
        <v>45726</v>
      </c>
      <c r="E10" s="37">
        <v>45727</v>
      </c>
      <c r="F10" s="37">
        <v>45728</v>
      </c>
      <c r="G10" s="37">
        <v>45729</v>
      </c>
      <c r="H10" s="37">
        <v>45730</v>
      </c>
      <c r="I10" s="73">
        <v>45731</v>
      </c>
    </row>
    <row r="11" spans="2:9" s="57" customFormat="1" ht="75" customHeight="1" x14ac:dyDescent="0.15">
      <c r="B11" s="88"/>
      <c r="C11" s="135">
        <v>0.625</v>
      </c>
      <c r="D11" s="56"/>
      <c r="E11" s="137"/>
      <c r="F11" s="56"/>
      <c r="G11" s="58"/>
      <c r="H11" s="56"/>
      <c r="I11" s="89"/>
    </row>
    <row r="12" spans="2:9" s="36" customFormat="1" ht="25" customHeight="1" x14ac:dyDescent="0.2">
      <c r="B12" s="81"/>
      <c r="C12" s="40">
        <f t="array" ref="C12:I12">DaysAndWeeks+DATE(CalendarYear,3,1)-WEEKDAY(DATE(CalendarYear,3,1),(WeekStart="M")+1)+22</f>
        <v>45732</v>
      </c>
      <c r="D12" s="37">
        <v>45733</v>
      </c>
      <c r="E12" s="37">
        <v>45734</v>
      </c>
      <c r="F12" s="37">
        <v>45735</v>
      </c>
      <c r="G12" s="37">
        <v>45736</v>
      </c>
      <c r="H12" s="41">
        <v>45737</v>
      </c>
      <c r="I12" s="94">
        <v>45738</v>
      </c>
    </row>
    <row r="13" spans="2:9" s="57" customFormat="1" ht="75" customHeight="1" x14ac:dyDescent="0.15">
      <c r="B13" s="88"/>
      <c r="C13" s="135"/>
      <c r="D13" s="56"/>
      <c r="E13" s="137"/>
      <c r="F13" s="56"/>
      <c r="G13" s="137"/>
      <c r="H13" s="56"/>
      <c r="I13" s="89"/>
    </row>
    <row r="14" spans="2:9" s="36" customFormat="1" ht="25" customHeight="1" x14ac:dyDescent="0.2">
      <c r="B14" s="81"/>
      <c r="C14" s="48">
        <f t="array" ref="C14:I14">DaysAndWeeks+DATE(CalendarYear,3,1)-WEEKDAY(DATE(CalendarYear,3,1),(WeekStart="M")+1)+29</f>
        <v>45739</v>
      </c>
      <c r="D14" s="37">
        <v>45740</v>
      </c>
      <c r="E14" s="37">
        <v>45741</v>
      </c>
      <c r="F14" s="37">
        <v>45742</v>
      </c>
      <c r="G14" s="48">
        <v>45743</v>
      </c>
      <c r="H14" s="123">
        <v>45744</v>
      </c>
      <c r="I14" s="75">
        <v>45745</v>
      </c>
    </row>
    <row r="15" spans="2:9" s="57" customFormat="1" ht="75" customHeight="1" x14ac:dyDescent="0.15">
      <c r="B15" s="88"/>
      <c r="C15" s="135">
        <v>0.625</v>
      </c>
      <c r="D15" s="56"/>
      <c r="E15" s="137"/>
      <c r="F15" s="56"/>
      <c r="G15" s="135"/>
      <c r="H15" s="164"/>
      <c r="I15" s="95"/>
    </row>
    <row r="16" spans="2:9" s="36" customFormat="1" ht="25" customHeight="1" x14ac:dyDescent="0.2">
      <c r="B16" s="81"/>
      <c r="C16" s="46">
        <f t="array" ref="C16:I16">DaysAndWeeks+DATE(CalendarYear,3,1)-WEEKDAY(DATE(CalendarYear,3,1),(WeekStart="M")+1)+36</f>
        <v>45746</v>
      </c>
      <c r="D16" s="39">
        <v>45747</v>
      </c>
      <c r="E16" s="39">
        <v>45748</v>
      </c>
      <c r="F16" s="39">
        <v>45749</v>
      </c>
      <c r="G16" s="39">
        <v>45750</v>
      </c>
      <c r="H16" s="39">
        <v>45751</v>
      </c>
      <c r="I16" s="75">
        <v>45752</v>
      </c>
    </row>
    <row r="17" spans="2:9" s="6" customFormat="1" ht="75" customHeight="1" x14ac:dyDescent="0.15">
      <c r="B17" s="79"/>
      <c r="C17" s="47"/>
      <c r="D17" s="45"/>
      <c r="E17" s="45"/>
      <c r="F17" s="45"/>
      <c r="G17" s="45"/>
      <c r="H17" s="45"/>
      <c r="I17" s="96"/>
    </row>
    <row r="18" spans="2:9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="81" zoomScaleNormal="100" workbookViewId="0">
      <pane ySplit="5" topLeftCell="A9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15">
      <c r="B3" s="80"/>
      <c r="C3" s="21"/>
      <c r="D3" s="21"/>
      <c r="E3" s="49"/>
      <c r="F3" s="49"/>
      <c r="G3" s="21" t="s">
        <v>13</v>
      </c>
      <c r="H3" s="21" t="s">
        <v>14</v>
      </c>
      <c r="I3" s="101"/>
    </row>
    <row r="4" spans="2:9" ht="75" customHeight="1" x14ac:dyDescent="0.65">
      <c r="B4" s="80"/>
      <c r="C4" s="151">
        <f>CalendarYear</f>
        <v>2025</v>
      </c>
      <c r="D4" s="184" t="s">
        <v>15</v>
      </c>
      <c r="E4" s="184"/>
      <c r="F4" s="184"/>
      <c r="G4" s="184"/>
      <c r="H4" s="184"/>
      <c r="I4" s="152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1"/>
      <c r="C6" s="46">
        <f t="array" ref="C6:I6">DaysAndWeeks+DATE(CalendarYear,4,1)-WEEKDAY(DATE(CalendarYear,4,1),(WeekStart="M")+1)+1</f>
        <v>45746</v>
      </c>
      <c r="D6" s="39">
        <v>45747</v>
      </c>
      <c r="E6" s="39">
        <v>45748</v>
      </c>
      <c r="F6" s="39">
        <v>45749</v>
      </c>
      <c r="G6" s="39">
        <v>45750</v>
      </c>
      <c r="H6" s="39">
        <v>45751</v>
      </c>
      <c r="I6" s="73">
        <v>45752</v>
      </c>
    </row>
    <row r="7" spans="2:9" s="57" customFormat="1" ht="75" customHeight="1" x14ac:dyDescent="0.15">
      <c r="B7" s="88"/>
      <c r="C7" s="61"/>
      <c r="D7" s="62"/>
      <c r="E7" s="62"/>
      <c r="F7" s="59"/>
      <c r="G7" s="139"/>
      <c r="H7" s="59"/>
      <c r="I7" s="89"/>
    </row>
    <row r="8" spans="2:9" s="36" customFormat="1" ht="25" customHeight="1" x14ac:dyDescent="0.2">
      <c r="B8" s="81"/>
      <c r="C8" s="40">
        <f t="array" ref="C8:I8">DaysAndWeeks+DATE(CalendarYear,4,1)-WEEKDAY(DATE(CalendarYear,4,1),(WeekStart="M")+1)+8</f>
        <v>45753</v>
      </c>
      <c r="D8" s="37">
        <v>45754</v>
      </c>
      <c r="E8" s="37">
        <v>45755</v>
      </c>
      <c r="F8" s="37">
        <v>45756</v>
      </c>
      <c r="G8" s="37">
        <v>45757</v>
      </c>
      <c r="H8" s="37">
        <v>45758</v>
      </c>
      <c r="I8" s="73">
        <v>45759</v>
      </c>
    </row>
    <row r="9" spans="2:9" s="57" customFormat="1" ht="75" customHeight="1" x14ac:dyDescent="0.15">
      <c r="B9" s="88"/>
      <c r="C9" s="140"/>
      <c r="D9" s="56"/>
      <c r="E9" s="137"/>
      <c r="F9" s="56"/>
      <c r="G9" s="140"/>
      <c r="H9" s="56"/>
      <c r="I9" s="89"/>
    </row>
    <row r="10" spans="2:9" s="36" customFormat="1" ht="25" customHeight="1" x14ac:dyDescent="0.2">
      <c r="B10" s="81"/>
      <c r="C10" s="40">
        <f t="array" ref="C10:I10">DaysAndWeeks+DATE(CalendarYear,4,1)-WEEKDAY(DATE(CalendarYear,4,1),(WeekStart="M")+1)+15</f>
        <v>45760</v>
      </c>
      <c r="D10" s="37">
        <v>45761</v>
      </c>
      <c r="E10" s="37">
        <v>45762</v>
      </c>
      <c r="F10" s="37">
        <v>45763</v>
      </c>
      <c r="G10" s="37">
        <v>45764</v>
      </c>
      <c r="H10" s="37">
        <v>45765</v>
      </c>
      <c r="I10" s="73">
        <v>45766</v>
      </c>
    </row>
    <row r="11" spans="2:9" s="57" customFormat="1" ht="75" customHeight="1" x14ac:dyDescent="0.15">
      <c r="B11" s="88"/>
      <c r="C11" s="135">
        <v>0.625</v>
      </c>
      <c r="D11" s="56"/>
      <c r="E11" s="137"/>
      <c r="F11" s="56"/>
      <c r="G11" s="58"/>
      <c r="H11" s="56"/>
      <c r="I11" s="89"/>
    </row>
    <row r="12" spans="2:9" s="36" customFormat="1" ht="25" customHeight="1" x14ac:dyDescent="0.2">
      <c r="B12" s="81"/>
      <c r="C12" s="40">
        <f t="array" ref="C12:I12">DaysAndWeeks+DATE(CalendarYear,4,1)-WEEKDAY(DATE(CalendarYear,4,1),(WeekStart="M")+1)+22</f>
        <v>45767</v>
      </c>
      <c r="D12" s="37">
        <v>45768</v>
      </c>
      <c r="E12" s="37">
        <v>45769</v>
      </c>
      <c r="F12" s="37">
        <v>45770</v>
      </c>
      <c r="G12" s="37">
        <v>45771</v>
      </c>
      <c r="H12" s="37">
        <v>45772</v>
      </c>
      <c r="I12" s="73">
        <v>45773</v>
      </c>
    </row>
    <row r="13" spans="2:9" s="57" customFormat="1" ht="75" customHeight="1" x14ac:dyDescent="0.15">
      <c r="B13" s="88"/>
      <c r="C13" s="140"/>
      <c r="D13" s="56"/>
      <c r="E13" s="137"/>
      <c r="F13" s="56"/>
      <c r="G13" s="140"/>
      <c r="H13" s="56"/>
      <c r="I13" s="89"/>
    </row>
    <row r="14" spans="2:9" s="36" customFormat="1" ht="25" customHeight="1" x14ac:dyDescent="0.2">
      <c r="B14" s="81"/>
      <c r="C14" s="40">
        <f t="array" ref="C14:I14">DaysAndWeeks+DATE(CalendarYear,4,1)-WEEKDAY(DATE(CalendarYear,4,1),(WeekStart="M")+1)+29</f>
        <v>45774</v>
      </c>
      <c r="D14" s="37">
        <v>45775</v>
      </c>
      <c r="E14" s="37">
        <v>45776</v>
      </c>
      <c r="F14" s="37">
        <v>45777</v>
      </c>
      <c r="G14" s="37">
        <v>45778</v>
      </c>
      <c r="H14" s="37">
        <v>45779</v>
      </c>
      <c r="I14" s="73">
        <v>45780</v>
      </c>
    </row>
    <row r="15" spans="2:9" s="57" customFormat="1" ht="75" customHeight="1" x14ac:dyDescent="0.15">
      <c r="B15" s="88"/>
      <c r="C15" s="135">
        <v>0.625</v>
      </c>
      <c r="D15" s="56"/>
      <c r="E15" s="140"/>
      <c r="F15" s="56"/>
      <c r="G15" s="137"/>
      <c r="H15" s="56"/>
      <c r="I15" s="89"/>
    </row>
    <row r="16" spans="2:9" s="36" customFormat="1" ht="25" customHeight="1" x14ac:dyDescent="0.2">
      <c r="B16" s="81"/>
      <c r="C16" s="165">
        <f t="array" ref="C16:I16">DaysAndWeeks+DATE(CalendarYear,4,1)-WEEKDAY(DATE(CalendarYear,4,1),(WeekStart="M")+1)+36</f>
        <v>45781</v>
      </c>
      <c r="D16" s="55">
        <v>45782</v>
      </c>
      <c r="E16" s="55">
        <v>45783</v>
      </c>
      <c r="F16" s="55">
        <v>45784</v>
      </c>
      <c r="G16" s="55">
        <v>45785</v>
      </c>
      <c r="H16" s="55">
        <v>45786</v>
      </c>
      <c r="I16" s="100">
        <v>45787</v>
      </c>
    </row>
    <row r="17" spans="2:9" s="6" customFormat="1" ht="75" customHeight="1" x14ac:dyDescent="0.15">
      <c r="B17" s="79"/>
      <c r="C17" s="166"/>
      <c r="D17" s="45"/>
      <c r="E17" s="45"/>
      <c r="F17" s="45"/>
      <c r="G17" s="45"/>
      <c r="H17" s="45"/>
      <c r="I17" s="96"/>
    </row>
    <row r="18" spans="2:9" ht="125" customHeight="1" thickBot="1" x14ac:dyDescent="0.2">
      <c r="B18" s="80"/>
      <c r="C18" s="181" t="s">
        <v>6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D15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Normal="100" workbookViewId="0">
      <pane ySplit="5" topLeftCell="A9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3">
      <c r="B3" s="80"/>
      <c r="C3" s="63"/>
      <c r="D3" s="64"/>
      <c r="E3" s="64"/>
      <c r="F3" s="32"/>
      <c r="G3" s="21" t="s">
        <v>16</v>
      </c>
      <c r="H3" s="21" t="s">
        <v>17</v>
      </c>
      <c r="I3" s="84"/>
    </row>
    <row r="4" spans="2:9" ht="75" customHeight="1" x14ac:dyDescent="0.65">
      <c r="B4" s="80"/>
      <c r="C4" s="151">
        <f>CalendarYear</f>
        <v>2025</v>
      </c>
      <c r="D4" s="184" t="s">
        <v>18</v>
      </c>
      <c r="E4" s="184"/>
      <c r="F4" s="184"/>
      <c r="G4" s="184"/>
      <c r="H4" s="184"/>
      <c r="I4" s="152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8" customFormat="1" ht="25" customHeight="1" x14ac:dyDescent="0.2">
      <c r="B6" s="83"/>
      <c r="C6" s="69">
        <f t="array" ref="C6:I6">DaysAndWeeks+DATE(CalendarYear,5,1)-WEEKDAY(DATE(CalendarYear,5,1),(WeekStart="M")+1)+1</f>
        <v>45774</v>
      </c>
      <c r="D6" s="117">
        <v>45775</v>
      </c>
      <c r="E6" s="124">
        <v>45776</v>
      </c>
      <c r="F6" s="124">
        <v>45777</v>
      </c>
      <c r="G6" s="124">
        <v>45778</v>
      </c>
      <c r="H6" s="124">
        <v>45779</v>
      </c>
      <c r="I6" s="125">
        <v>45780</v>
      </c>
    </row>
    <row r="7" spans="2:9" s="57" customFormat="1" ht="75" customHeight="1" x14ac:dyDescent="0.15">
      <c r="B7" s="88"/>
      <c r="C7" s="167"/>
      <c r="D7" s="13"/>
      <c r="E7" s="141"/>
      <c r="F7" s="56"/>
      <c r="G7" s="141"/>
      <c r="H7" s="56"/>
      <c r="I7" s="89"/>
    </row>
    <row r="8" spans="2:9" s="38" customFormat="1" ht="25" customHeight="1" x14ac:dyDescent="0.2">
      <c r="B8" s="83"/>
      <c r="C8" s="123">
        <f t="array" ref="C8:I8">DaysAndWeeks+DATE(CalendarYear,5,1)-WEEKDAY(DATE(CalendarYear,5,1),(WeekStart="M")+1)+8</f>
        <v>45781</v>
      </c>
      <c r="D8" s="117">
        <v>45782</v>
      </c>
      <c r="E8" s="117">
        <v>45783</v>
      </c>
      <c r="F8" s="117">
        <v>45784</v>
      </c>
      <c r="G8" s="117">
        <v>45785</v>
      </c>
      <c r="H8" s="117">
        <v>45786</v>
      </c>
      <c r="I8" s="118">
        <v>45787</v>
      </c>
    </row>
    <row r="9" spans="2:9" s="57" customFormat="1" ht="75" customHeight="1" x14ac:dyDescent="0.15">
      <c r="B9" s="88"/>
      <c r="C9" s="135">
        <v>0.625</v>
      </c>
      <c r="D9" s="56"/>
      <c r="E9" s="141"/>
      <c r="F9" s="56"/>
      <c r="G9" s="141"/>
      <c r="H9" s="56"/>
      <c r="I9" s="89"/>
    </row>
    <row r="10" spans="2:9" s="38" customFormat="1" ht="25" customHeight="1" x14ac:dyDescent="0.2">
      <c r="B10" s="83"/>
      <c r="C10" s="123">
        <f t="array" ref="C10:I10">DaysAndWeeks+DATE(CalendarYear,5,1)-WEEKDAY(DATE(CalendarYear,5,1),(WeekStart="M")+1)+15</f>
        <v>45788</v>
      </c>
      <c r="D10" s="117">
        <v>45789</v>
      </c>
      <c r="E10" s="117">
        <v>45790</v>
      </c>
      <c r="F10" s="126">
        <v>45791</v>
      </c>
      <c r="G10" s="117">
        <v>45792</v>
      </c>
      <c r="H10" s="117">
        <v>45793</v>
      </c>
      <c r="I10" s="118">
        <v>45794</v>
      </c>
    </row>
    <row r="11" spans="2:9" s="57" customFormat="1" ht="75" customHeight="1" x14ac:dyDescent="0.15">
      <c r="B11" s="88"/>
      <c r="C11" s="140"/>
      <c r="D11" s="56"/>
      <c r="E11" s="141"/>
      <c r="F11" s="127"/>
      <c r="G11" s="141"/>
      <c r="H11" s="56"/>
      <c r="I11" s="89"/>
    </row>
    <row r="12" spans="2:9" s="38" customFormat="1" ht="25" customHeight="1" x14ac:dyDescent="0.2">
      <c r="B12" s="83"/>
      <c r="C12" s="123">
        <f t="array" ref="C12:I12">DaysAndWeeks+DATE(CalendarYear,5,1)-WEEKDAY(DATE(CalendarYear,5,1),(WeekStart="M")+1)+22</f>
        <v>45795</v>
      </c>
      <c r="D12" s="117">
        <v>45796</v>
      </c>
      <c r="E12" s="117">
        <v>45797</v>
      </c>
      <c r="F12" s="117">
        <v>45798</v>
      </c>
      <c r="G12" s="117">
        <v>45799</v>
      </c>
      <c r="H12" s="117">
        <v>45800</v>
      </c>
      <c r="I12" s="118">
        <v>45801</v>
      </c>
    </row>
    <row r="13" spans="2:9" s="57" customFormat="1" ht="75" customHeight="1" x14ac:dyDescent="0.15">
      <c r="B13" s="88"/>
      <c r="C13" s="135">
        <v>0.625</v>
      </c>
      <c r="D13" s="56"/>
      <c r="E13" s="141"/>
      <c r="F13" s="56"/>
      <c r="G13" s="141"/>
      <c r="H13" s="56"/>
      <c r="I13" s="89"/>
    </row>
    <row r="14" spans="2:9" s="38" customFormat="1" ht="25" customHeight="1" x14ac:dyDescent="0.2">
      <c r="B14" s="83"/>
      <c r="C14" s="123">
        <f t="array" ref="C14:I14">DaysAndWeeks+DATE(CalendarYear,5,1)-WEEKDAY(DATE(CalendarYear,5,1),(WeekStart="M")+1)+29</f>
        <v>45802</v>
      </c>
      <c r="D14" s="117">
        <v>45803</v>
      </c>
      <c r="E14" s="117">
        <v>45804</v>
      </c>
      <c r="F14" s="117">
        <v>45805</v>
      </c>
      <c r="G14" s="39">
        <v>45806</v>
      </c>
      <c r="H14" s="39">
        <v>45807</v>
      </c>
      <c r="I14" s="75">
        <v>45808</v>
      </c>
    </row>
    <row r="15" spans="2:9" s="57" customFormat="1" ht="75" customHeight="1" x14ac:dyDescent="0.15">
      <c r="B15" s="88"/>
      <c r="C15" s="140"/>
      <c r="D15" s="144"/>
      <c r="E15" s="141"/>
      <c r="F15" s="56"/>
      <c r="G15" s="59"/>
      <c r="H15" s="59"/>
      <c r="I15" s="95"/>
    </row>
    <row r="16" spans="2:9" s="36" customFormat="1" ht="25" customHeight="1" x14ac:dyDescent="0.2">
      <c r="B16" s="81"/>
      <c r="C16" s="46">
        <f t="array" ref="C16:I16">DaysAndWeeks+DATE(CalendarYear,5,1)-WEEKDAY(DATE(CalendarYear,5,1),(WeekStart="M")+1)+36</f>
        <v>45809</v>
      </c>
      <c r="D16" s="39">
        <v>45810</v>
      </c>
      <c r="E16" s="39">
        <v>45811</v>
      </c>
      <c r="F16" s="39">
        <v>45812</v>
      </c>
      <c r="G16" s="39">
        <v>45813</v>
      </c>
      <c r="H16" s="39">
        <v>45814</v>
      </c>
      <c r="I16" s="75">
        <v>45815</v>
      </c>
    </row>
    <row r="17" spans="2:9" ht="75" customHeight="1" x14ac:dyDescent="0.15">
      <c r="B17" s="80"/>
      <c r="C17" s="51"/>
      <c r="D17" s="50"/>
      <c r="E17" s="50"/>
      <c r="F17" s="50"/>
      <c r="G17" s="50"/>
      <c r="H17" s="50"/>
      <c r="I17" s="102"/>
    </row>
    <row r="18" spans="2:9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="91" zoomScaleNormal="100" workbookViewId="0">
      <pane ySplit="5" topLeftCell="A6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3">
      <c r="B3" s="80"/>
      <c r="C3" s="63"/>
      <c r="D3" s="64"/>
      <c r="E3" s="64"/>
      <c r="F3" s="65"/>
      <c r="G3" s="21" t="s">
        <v>19</v>
      </c>
      <c r="H3" s="21" t="s">
        <v>20</v>
      </c>
      <c r="I3" s="84"/>
    </row>
    <row r="4" spans="2:9" ht="75" customHeight="1" x14ac:dyDescent="0.65">
      <c r="B4" s="80"/>
      <c r="C4" s="151">
        <f>CalendarYear</f>
        <v>2025</v>
      </c>
      <c r="D4" s="184" t="s">
        <v>21</v>
      </c>
      <c r="E4" s="184"/>
      <c r="F4" s="184"/>
      <c r="G4" s="184"/>
      <c r="H4" s="184"/>
      <c r="I4" s="152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1"/>
      <c r="C6" s="46">
        <f t="array" ref="C6:I6">DaysAndWeeks+DATE(CalendarYear,6,1)-WEEKDAY(DATE(CalendarYear,6,1),(WeekStart="M")+1)+1</f>
        <v>45809</v>
      </c>
      <c r="D6" s="39">
        <v>45810</v>
      </c>
      <c r="E6" s="39">
        <v>45811</v>
      </c>
      <c r="F6" s="39">
        <v>45812</v>
      </c>
      <c r="G6" s="37">
        <v>45813</v>
      </c>
      <c r="H6" s="37">
        <v>45814</v>
      </c>
      <c r="I6" s="73">
        <v>45815</v>
      </c>
    </row>
    <row r="7" spans="2:9" s="71" customFormat="1" ht="75" customHeight="1" x14ac:dyDescent="0.15">
      <c r="B7" s="82"/>
      <c r="C7" s="72"/>
      <c r="D7" s="70"/>
      <c r="E7" s="143"/>
      <c r="F7" s="168"/>
      <c r="G7" s="142"/>
      <c r="H7" s="66"/>
      <c r="I7" s="74"/>
    </row>
    <row r="8" spans="2:9" s="38" customFormat="1" ht="25" customHeight="1" x14ac:dyDescent="0.2">
      <c r="B8" s="83"/>
      <c r="C8" s="40">
        <f t="array" ref="C8:I8">DaysAndWeeks+DATE(CalendarYear,6,1)-WEEKDAY(DATE(CalendarYear,6,1),(WeekStart="M")+1)+8</f>
        <v>45816</v>
      </c>
      <c r="D8" s="37">
        <v>45817</v>
      </c>
      <c r="E8" s="37">
        <v>45818</v>
      </c>
      <c r="F8" s="37">
        <v>45819</v>
      </c>
      <c r="G8" s="37">
        <v>45820</v>
      </c>
      <c r="H8" s="37">
        <v>45821</v>
      </c>
      <c r="I8" s="73">
        <v>45822</v>
      </c>
    </row>
    <row r="9" spans="2:9" s="71" customFormat="1" ht="75" customHeight="1" x14ac:dyDescent="0.15">
      <c r="B9" s="82"/>
      <c r="C9" s="135">
        <v>0.625</v>
      </c>
      <c r="D9" s="145"/>
      <c r="E9" s="142"/>
      <c r="F9" s="145"/>
      <c r="G9" s="142"/>
      <c r="H9" s="66"/>
      <c r="I9" s="74"/>
    </row>
    <row r="10" spans="2:9" s="38" customFormat="1" ht="25" customHeight="1" x14ac:dyDescent="0.2">
      <c r="B10" s="83"/>
      <c r="C10" s="40">
        <f t="array" ref="C10:I10">DaysAndWeeks+DATE(CalendarYear,6,1)-WEEKDAY(DATE(CalendarYear,6,1),(WeekStart="M")+1)+15</f>
        <v>45823</v>
      </c>
      <c r="D10" s="37">
        <v>45824</v>
      </c>
      <c r="E10" s="37">
        <v>45825</v>
      </c>
      <c r="F10" s="37">
        <v>45826</v>
      </c>
      <c r="G10" s="37">
        <v>45827</v>
      </c>
      <c r="H10" s="37">
        <v>45828</v>
      </c>
      <c r="I10" s="73">
        <v>45829</v>
      </c>
    </row>
    <row r="11" spans="2:9" s="71" customFormat="1" ht="75" customHeight="1" x14ac:dyDescent="0.15">
      <c r="B11" s="82"/>
      <c r="C11" s="146"/>
      <c r="D11" s="145"/>
      <c r="E11" s="142"/>
      <c r="F11" s="145"/>
      <c r="G11" s="142"/>
      <c r="H11" s="66"/>
      <c r="I11" s="74"/>
    </row>
    <row r="12" spans="2:9" s="38" customFormat="1" ht="25" customHeight="1" x14ac:dyDescent="0.2">
      <c r="B12" s="83"/>
      <c r="C12" s="40">
        <f t="array" ref="C12:I12">DaysAndWeeks+DATE(CalendarYear,6,1)-WEEKDAY(DATE(CalendarYear,6,1),(WeekStart="M")+1)+22</f>
        <v>45830</v>
      </c>
      <c r="D12" s="37">
        <v>45831</v>
      </c>
      <c r="E12" s="37">
        <v>45832</v>
      </c>
      <c r="F12" s="37">
        <v>45833</v>
      </c>
      <c r="G12" s="37">
        <v>45834</v>
      </c>
      <c r="H12" s="37">
        <v>45835</v>
      </c>
      <c r="I12" s="73">
        <v>45836</v>
      </c>
    </row>
    <row r="13" spans="2:9" s="71" customFormat="1" ht="75" customHeight="1" x14ac:dyDescent="0.15">
      <c r="B13" s="82"/>
      <c r="C13" s="135">
        <v>0.625</v>
      </c>
      <c r="D13" s="145"/>
      <c r="E13" s="142"/>
      <c r="F13" s="145"/>
      <c r="G13" s="142"/>
      <c r="H13" s="66"/>
      <c r="I13" s="74"/>
    </row>
    <row r="14" spans="2:9" s="38" customFormat="1" ht="25" customHeight="1" x14ac:dyDescent="0.2">
      <c r="B14" s="83"/>
      <c r="C14" s="40">
        <f t="array" ref="C14:I14">DaysAndWeeks+DATE(CalendarYear,6,1)-WEEKDAY(DATE(CalendarYear,6,1),(WeekStart="M")+1)+29</f>
        <v>45837</v>
      </c>
      <c r="D14" s="37">
        <v>45838</v>
      </c>
      <c r="E14" s="37">
        <v>45839</v>
      </c>
      <c r="F14" s="37">
        <v>45840</v>
      </c>
      <c r="G14" s="37">
        <v>45841</v>
      </c>
      <c r="H14" s="117">
        <v>45842</v>
      </c>
      <c r="I14" s="75">
        <v>45843</v>
      </c>
    </row>
    <row r="15" spans="2:9" s="71" customFormat="1" ht="75" customHeight="1" x14ac:dyDescent="0.15">
      <c r="B15" s="82"/>
      <c r="C15" s="146"/>
      <c r="D15" s="145"/>
      <c r="E15" s="142"/>
      <c r="F15" s="145"/>
      <c r="G15" s="142"/>
      <c r="H15" s="66"/>
      <c r="I15" s="76"/>
    </row>
    <row r="16" spans="2:9" s="36" customFormat="1" ht="25" customHeight="1" x14ac:dyDescent="0.2">
      <c r="B16" s="81"/>
      <c r="C16" s="46">
        <f t="array" ref="C16:I16">DaysAndWeeks+DATE(CalendarYear,6,1)-WEEKDAY(DATE(CalendarYear,6,1),(WeekStart="M")+1)+36</f>
        <v>45844</v>
      </c>
      <c r="D16" s="39">
        <v>45845</v>
      </c>
      <c r="E16" s="39">
        <v>45846</v>
      </c>
      <c r="F16" s="39">
        <v>45847</v>
      </c>
      <c r="G16" s="39">
        <v>45848</v>
      </c>
      <c r="H16" s="39">
        <v>45849</v>
      </c>
      <c r="I16" s="75">
        <v>45850</v>
      </c>
    </row>
    <row r="17" spans="2:9" s="36" customFormat="1" ht="75" customHeight="1" x14ac:dyDescent="0.2">
      <c r="B17" s="81"/>
      <c r="C17" s="77"/>
      <c r="D17" s="68"/>
      <c r="E17" s="68"/>
      <c r="F17" s="68"/>
      <c r="G17" s="68"/>
      <c r="H17" s="68"/>
      <c r="I17" s="78"/>
    </row>
    <row r="18" spans="2:9" ht="125" customHeight="1" thickBot="1" x14ac:dyDescent="0.2">
      <c r="B18" s="80"/>
      <c r="C18" s="181" t="s">
        <v>6</v>
      </c>
      <c r="D18" s="182"/>
      <c r="E18" s="182"/>
      <c r="F18" s="182"/>
      <c r="G18" s="182"/>
      <c r="H18" s="182"/>
      <c r="I18" s="183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="82" zoomScaleNormal="100" workbookViewId="0">
      <pane ySplit="5" topLeftCell="A10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3">
      <c r="B3" s="80"/>
      <c r="C3" s="63"/>
      <c r="D3" s="64"/>
      <c r="E3" s="64"/>
      <c r="F3" s="65"/>
      <c r="G3" s="21" t="s">
        <v>22</v>
      </c>
      <c r="H3" s="21" t="s">
        <v>23</v>
      </c>
      <c r="I3" s="84"/>
    </row>
    <row r="4" spans="2:9" ht="75" customHeight="1" x14ac:dyDescent="0.65">
      <c r="B4" s="80"/>
      <c r="C4" s="151">
        <f>CalendarYear</f>
        <v>2025</v>
      </c>
      <c r="D4" s="180" t="s">
        <v>24</v>
      </c>
      <c r="E4" s="180"/>
      <c r="F4" s="180"/>
      <c r="G4" s="180"/>
      <c r="H4" s="180"/>
      <c r="I4" s="152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8" customFormat="1" ht="25" customHeight="1" x14ac:dyDescent="0.2">
      <c r="B6" s="83"/>
      <c r="C6" s="46">
        <f t="array" ref="C6:I6">DaysAndWeeks+DATE(CalendarYear,7,1)-WEEKDAY(DATE(CalendarYear,7,1),(WeekStart="M")+1)+1</f>
        <v>45837</v>
      </c>
      <c r="D6" s="39">
        <v>45838</v>
      </c>
      <c r="E6" s="39">
        <v>45839</v>
      </c>
      <c r="F6" s="69">
        <v>45840</v>
      </c>
      <c r="G6" s="39">
        <v>45841</v>
      </c>
      <c r="H6" s="39">
        <v>45842</v>
      </c>
      <c r="I6" s="73">
        <v>45843</v>
      </c>
    </row>
    <row r="7" spans="2:9" s="57" customFormat="1" ht="75" customHeight="1" x14ac:dyDescent="0.15">
      <c r="B7" s="88"/>
      <c r="C7" s="61"/>
      <c r="D7" s="59"/>
      <c r="E7" s="59"/>
      <c r="F7" s="103"/>
      <c r="G7" s="147"/>
      <c r="H7" s="59"/>
      <c r="I7" s="89"/>
    </row>
    <row r="8" spans="2:9" s="38" customFormat="1" ht="25" customHeight="1" x14ac:dyDescent="0.2">
      <c r="B8" s="83"/>
      <c r="C8" s="40">
        <f t="array" ref="C8:I8">DaysAndWeeks+DATE(CalendarYear,7,1)-WEEKDAY(DATE(CalendarYear,7,1),(WeekStart="M")+1)+8</f>
        <v>45844</v>
      </c>
      <c r="D8" s="37">
        <v>45845</v>
      </c>
      <c r="E8" s="37">
        <v>45846</v>
      </c>
      <c r="F8" s="37">
        <v>45847</v>
      </c>
      <c r="G8" s="37">
        <v>45848</v>
      </c>
      <c r="H8" s="37">
        <v>45849</v>
      </c>
      <c r="I8" s="73">
        <v>45850</v>
      </c>
    </row>
    <row r="9" spans="2:9" s="57" customFormat="1" ht="75" customHeight="1" x14ac:dyDescent="0.15">
      <c r="B9" s="88"/>
      <c r="C9" s="135">
        <v>0.625</v>
      </c>
      <c r="D9" s="144"/>
      <c r="E9" s="141"/>
      <c r="F9" s="144"/>
      <c r="G9" s="141"/>
      <c r="H9" s="56"/>
      <c r="I9" s="89"/>
    </row>
    <row r="10" spans="2:9" s="38" customFormat="1" ht="25" customHeight="1" x14ac:dyDescent="0.2">
      <c r="B10" s="83"/>
      <c r="C10" s="40">
        <f t="array" ref="C10:I10">DaysAndWeeks+DATE(CalendarYear,7,1)-WEEKDAY(DATE(CalendarYear,7,1),(WeekStart="M")+1)+15</f>
        <v>45851</v>
      </c>
      <c r="D10" s="37">
        <v>45852</v>
      </c>
      <c r="E10" s="37">
        <v>45853</v>
      </c>
      <c r="F10" s="37">
        <v>45854</v>
      </c>
      <c r="G10" s="37">
        <v>45855</v>
      </c>
      <c r="H10" s="37">
        <v>45856</v>
      </c>
      <c r="I10" s="73">
        <v>45857</v>
      </c>
    </row>
    <row r="11" spans="2:9" s="57" customFormat="1" ht="75" customHeight="1" x14ac:dyDescent="0.15">
      <c r="B11" s="88"/>
      <c r="C11" s="140"/>
      <c r="D11" s="144"/>
      <c r="E11" s="141"/>
      <c r="F11" s="144"/>
      <c r="G11" s="141"/>
      <c r="H11" s="56"/>
      <c r="I11" s="89"/>
    </row>
    <row r="12" spans="2:9" s="38" customFormat="1" ht="25" customHeight="1" x14ac:dyDescent="0.2">
      <c r="B12" s="83"/>
      <c r="C12" s="40">
        <f t="array" ref="C12:I12">DaysAndWeeks+DATE(CalendarYear,7,1)-WEEKDAY(DATE(CalendarYear,7,1),(WeekStart="M")+1)+22</f>
        <v>45858</v>
      </c>
      <c r="D12" s="37">
        <v>45859</v>
      </c>
      <c r="E12" s="37">
        <v>45860</v>
      </c>
      <c r="F12" s="37">
        <v>45861</v>
      </c>
      <c r="G12" s="37">
        <v>45862</v>
      </c>
      <c r="H12" s="37">
        <v>45863</v>
      </c>
      <c r="I12" s="73">
        <v>45864</v>
      </c>
    </row>
    <row r="13" spans="2:9" s="57" customFormat="1" ht="75" customHeight="1" x14ac:dyDescent="0.15">
      <c r="B13" s="88"/>
      <c r="C13" s="135">
        <v>0.625</v>
      </c>
      <c r="D13" s="144"/>
      <c r="E13" s="141"/>
      <c r="F13" s="144"/>
      <c r="G13" s="141"/>
      <c r="H13" s="56"/>
      <c r="I13" s="89"/>
    </row>
    <row r="14" spans="2:9" s="36" customFormat="1" ht="25" customHeight="1" x14ac:dyDescent="0.2">
      <c r="B14" s="81"/>
      <c r="C14" s="40">
        <f t="array" ref="C14:I14">DaysAndWeeks+DATE(CalendarYear,7,1)-WEEKDAY(DATE(CalendarYear,7,1),(WeekStart="M")+1)+29</f>
        <v>45865</v>
      </c>
      <c r="D14" s="37">
        <v>45866</v>
      </c>
      <c r="E14" s="37">
        <v>45867</v>
      </c>
      <c r="F14" s="37">
        <v>45868</v>
      </c>
      <c r="G14" s="37">
        <v>45869</v>
      </c>
      <c r="H14" s="37">
        <v>45870</v>
      </c>
      <c r="I14" s="73">
        <v>45871</v>
      </c>
    </row>
    <row r="15" spans="2:9" s="57" customFormat="1" ht="75" customHeight="1" x14ac:dyDescent="0.15">
      <c r="B15" s="88"/>
      <c r="C15" s="140"/>
      <c r="D15" s="144"/>
      <c r="E15" s="141"/>
      <c r="F15" s="144"/>
      <c r="G15" s="141"/>
      <c r="H15" s="56"/>
      <c r="I15" s="104"/>
    </row>
    <row r="16" spans="2:9" s="38" customFormat="1" ht="25" customHeight="1" x14ac:dyDescent="0.2">
      <c r="B16" s="83"/>
      <c r="C16" s="40">
        <f t="array" ref="C16:I16">DaysAndWeeks+DATE(CalendarYear,7,1)-WEEKDAY(DATE(CalendarYear,7,1),(WeekStart="M")+1)+36</f>
        <v>45872</v>
      </c>
      <c r="D16" s="117">
        <v>45873</v>
      </c>
      <c r="E16" s="39">
        <v>45874</v>
      </c>
      <c r="F16" s="39">
        <v>45875</v>
      </c>
      <c r="G16" s="39">
        <v>45876</v>
      </c>
      <c r="H16" s="39">
        <v>45877</v>
      </c>
      <c r="I16" s="75">
        <v>45878</v>
      </c>
    </row>
    <row r="17" spans="2:9" s="57" customFormat="1" ht="75" customHeight="1" x14ac:dyDescent="0.15">
      <c r="B17" s="88"/>
      <c r="C17" s="135">
        <v>0.625</v>
      </c>
      <c r="D17" s="56"/>
      <c r="E17" s="59"/>
      <c r="F17" s="59"/>
      <c r="G17" s="59"/>
      <c r="H17" s="59"/>
      <c r="I17" s="95"/>
    </row>
    <row r="18" spans="2:9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6 D17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="75" zoomScaleNormal="100" workbookViewId="0">
      <pane ySplit="5" topLeftCell="A11" activePane="bottomLeft" state="frozen"/>
      <selection pane="bottomLeft" activeCell="I4" sqref="I4"/>
    </sheetView>
  </sheetViews>
  <sheetFormatPr baseColWidth="10" defaultColWidth="8.625" defaultRowHeight="17" x14ac:dyDescent="0.15"/>
  <cols>
    <col min="1" max="2" width="2.625" style="36" customWidth="1"/>
    <col min="3" max="9" width="24.375" style="36" customWidth="1"/>
    <col min="10" max="16384" width="8.625" style="36"/>
  </cols>
  <sheetData>
    <row r="1" spans="2:9" ht="15" customHeight="1" thickBot="1" x14ac:dyDescent="0.2"/>
    <row r="2" spans="2:9" ht="75" customHeight="1" thickTop="1" x14ac:dyDescent="0.15">
      <c r="B2" s="81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2">
      <c r="B3" s="81"/>
      <c r="C3" s="105"/>
      <c r="D3" s="106"/>
      <c r="E3" s="106"/>
      <c r="F3" s="107"/>
      <c r="G3" s="52" t="s">
        <v>25</v>
      </c>
      <c r="H3" s="52" t="s">
        <v>26</v>
      </c>
      <c r="I3" s="113"/>
    </row>
    <row r="4" spans="2:9" ht="75" customHeight="1" x14ac:dyDescent="0.65">
      <c r="B4" s="81"/>
      <c r="C4" s="151">
        <f>CalendarYear</f>
        <v>2025</v>
      </c>
      <c r="D4" s="180" t="s">
        <v>27</v>
      </c>
      <c r="E4" s="180"/>
      <c r="F4" s="180"/>
      <c r="G4" s="180"/>
      <c r="H4" s="180"/>
      <c r="I4" s="152"/>
    </row>
    <row r="5" spans="2:9" ht="35" customHeight="1" x14ac:dyDescent="0.15">
      <c r="B5" s="81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108" customFormat="1" ht="25" customHeight="1" x14ac:dyDescent="0.2">
      <c r="B6" s="111"/>
      <c r="C6" s="110">
        <f t="array" ref="C6:I6">DaysAndWeeks+DATE(CalendarYear,8,1)-WEEKDAY(DATE(CalendarYear,8,1),(WeekStart="M")+1)+1</f>
        <v>45865</v>
      </c>
      <c r="D6" s="110">
        <v>45866</v>
      </c>
      <c r="E6" s="67">
        <v>45867</v>
      </c>
      <c r="F6" s="67">
        <v>45868</v>
      </c>
      <c r="G6" s="67">
        <v>45869</v>
      </c>
      <c r="H6" s="67">
        <v>45870</v>
      </c>
      <c r="I6" s="112">
        <v>45871</v>
      </c>
    </row>
    <row r="7" spans="2:9" s="71" customFormat="1" ht="75" customHeight="1" x14ac:dyDescent="0.15">
      <c r="B7" s="82"/>
      <c r="C7" s="148"/>
      <c r="D7" s="148"/>
      <c r="E7" s="142"/>
      <c r="F7" s="145"/>
      <c r="G7" s="142"/>
      <c r="H7" s="66"/>
      <c r="I7" s="74"/>
    </row>
    <row r="8" spans="2:9" ht="25" customHeight="1" x14ac:dyDescent="0.2">
      <c r="B8" s="81"/>
      <c r="C8" s="40">
        <f t="array" ref="C8:I8">DaysAndWeeks+DATE(CalendarYear,8,1)-WEEKDAY(DATE(CalendarYear,8,1),(WeekStart="M")+1)+8</f>
        <v>45872</v>
      </c>
      <c r="D8" s="117">
        <v>45873</v>
      </c>
      <c r="E8" s="37">
        <v>45874</v>
      </c>
      <c r="F8" s="37">
        <v>45875</v>
      </c>
      <c r="G8" s="37">
        <v>45876</v>
      </c>
      <c r="H8" s="37">
        <v>45877</v>
      </c>
      <c r="I8" s="73">
        <v>45878</v>
      </c>
    </row>
    <row r="9" spans="2:9" s="71" customFormat="1" ht="75" customHeight="1" x14ac:dyDescent="0.15">
      <c r="B9" s="82"/>
      <c r="C9" s="146"/>
      <c r="D9" s="145"/>
      <c r="E9" s="142"/>
      <c r="F9" s="145"/>
      <c r="G9" s="142"/>
      <c r="H9" s="66"/>
      <c r="I9" s="74"/>
    </row>
    <row r="10" spans="2:9" ht="25" customHeight="1" x14ac:dyDescent="0.2">
      <c r="B10" s="81"/>
      <c r="C10" s="40">
        <f t="array" ref="C10:I10">DaysAndWeeks+DATE(CalendarYear,8,1)-WEEKDAY(DATE(CalendarYear,8,1),(WeekStart="M")+1)+15</f>
        <v>45879</v>
      </c>
      <c r="D10" s="117">
        <v>45880</v>
      </c>
      <c r="E10" s="37">
        <v>45881</v>
      </c>
      <c r="F10" s="37">
        <v>45882</v>
      </c>
      <c r="G10" s="37">
        <v>45883</v>
      </c>
      <c r="H10" s="37">
        <v>45884</v>
      </c>
      <c r="I10" s="73">
        <v>45885</v>
      </c>
    </row>
    <row r="11" spans="2:9" s="71" customFormat="1" ht="75" customHeight="1" x14ac:dyDescent="0.15">
      <c r="B11" s="82"/>
      <c r="C11" s="135">
        <v>0.625</v>
      </c>
      <c r="D11" s="145"/>
      <c r="E11" s="142"/>
      <c r="F11" s="145"/>
      <c r="G11" s="142"/>
      <c r="H11" s="66"/>
      <c r="I11" s="74"/>
    </row>
    <row r="12" spans="2:9" ht="25" customHeight="1" x14ac:dyDescent="0.2">
      <c r="B12" s="81"/>
      <c r="C12" s="40">
        <f t="array" ref="C12:I12">DaysAndWeeks+DATE(CalendarYear,8,1)-WEEKDAY(DATE(CalendarYear,8,1),(WeekStart="M")+1)+22</f>
        <v>45886</v>
      </c>
      <c r="D12" s="117">
        <v>45887</v>
      </c>
      <c r="E12" s="37">
        <v>45888</v>
      </c>
      <c r="F12" s="37">
        <v>45889</v>
      </c>
      <c r="G12" s="37">
        <v>45890</v>
      </c>
      <c r="H12" s="37">
        <v>45891</v>
      </c>
      <c r="I12" s="73">
        <v>45892</v>
      </c>
    </row>
    <row r="13" spans="2:9" s="71" customFormat="1" ht="75" customHeight="1" x14ac:dyDescent="0.15">
      <c r="B13" s="82"/>
      <c r="C13" s="146"/>
      <c r="D13" s="145"/>
      <c r="E13" s="142"/>
      <c r="F13" s="145"/>
      <c r="G13" s="142"/>
      <c r="H13" s="66"/>
      <c r="I13" s="74"/>
    </row>
    <row r="14" spans="2:9" ht="25" customHeight="1" x14ac:dyDescent="0.2">
      <c r="B14" s="81"/>
      <c r="C14" s="40">
        <f t="array" ref="C14:I14">DaysAndWeeks+DATE(CalendarYear,8,1)-WEEKDAY(DATE(CalendarYear,8,1),(WeekStart="M")+1)+29</f>
        <v>45893</v>
      </c>
      <c r="D14" s="37">
        <v>45894</v>
      </c>
      <c r="E14" s="37">
        <v>45895</v>
      </c>
      <c r="F14" s="37">
        <v>45896</v>
      </c>
      <c r="G14" s="117">
        <v>45897</v>
      </c>
      <c r="H14" s="39">
        <v>45898</v>
      </c>
      <c r="I14" s="75">
        <v>45899</v>
      </c>
    </row>
    <row r="15" spans="2:9" s="71" customFormat="1" ht="75" customHeight="1" x14ac:dyDescent="0.15">
      <c r="B15" s="82"/>
      <c r="C15" s="135">
        <v>0.625</v>
      </c>
      <c r="D15" s="145"/>
      <c r="E15" s="142"/>
      <c r="F15" s="66"/>
      <c r="G15" s="66"/>
      <c r="H15" s="70"/>
      <c r="I15" s="76"/>
    </row>
    <row r="16" spans="2:9" ht="25" customHeight="1" x14ac:dyDescent="0.2">
      <c r="B16" s="81"/>
      <c r="C16" s="46">
        <f t="array" ref="C16:I16">DaysAndWeeks+DATE(CalendarYear,8,1)-WEEKDAY(DATE(CalendarYear,8,1),(WeekStart="M")+1)+36</f>
        <v>45900</v>
      </c>
      <c r="D16" s="39">
        <v>45901</v>
      </c>
      <c r="E16" s="39">
        <v>45902</v>
      </c>
      <c r="F16" s="39">
        <v>45903</v>
      </c>
      <c r="G16" s="39">
        <v>45904</v>
      </c>
      <c r="H16" s="39">
        <v>45905</v>
      </c>
      <c r="I16" s="75">
        <v>45906</v>
      </c>
    </row>
    <row r="17" spans="2:9" s="71" customFormat="1" ht="75" customHeight="1" x14ac:dyDescent="0.15">
      <c r="B17" s="82"/>
      <c r="C17" s="72"/>
      <c r="D17" s="70"/>
      <c r="E17" s="70"/>
      <c r="F17" s="70"/>
      <c r="G17" s="70"/>
      <c r="H17" s="70"/>
      <c r="I17" s="76"/>
    </row>
    <row r="18" spans="2:9" s="1" customFormat="1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2">
      <formula>AND(DAY(C18)&gt;=1,DAY(C18)&lt;=15)</formula>
    </cfRule>
  </conditionalFormatting>
  <conditionalFormatting sqref="C6:H6">
    <cfRule type="expression" dxfId="13" priority="4">
      <formula>DAY(C6)&gt;8</formula>
    </cfRule>
  </conditionalFormatting>
  <conditionalFormatting sqref="C14:I14 D15:I15 C16:I17">
    <cfRule type="expression" dxfId="12" priority="3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="68" zoomScaleNormal="100" workbookViewId="0">
      <pane ySplit="5" topLeftCell="A7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3">
      <c r="B3" s="80"/>
      <c r="C3" s="63"/>
      <c r="D3" s="64"/>
      <c r="E3" s="64"/>
      <c r="F3" s="65"/>
      <c r="G3" s="21" t="s">
        <v>28</v>
      </c>
      <c r="H3" s="21" t="s">
        <v>29</v>
      </c>
      <c r="I3" s="84"/>
    </row>
    <row r="4" spans="2:9" ht="75" customHeight="1" x14ac:dyDescent="0.65">
      <c r="B4" s="80"/>
      <c r="C4" s="151">
        <f>CalendarYear</f>
        <v>2025</v>
      </c>
      <c r="D4" s="185" t="s">
        <v>30</v>
      </c>
      <c r="E4" s="185"/>
      <c r="F4" s="185"/>
      <c r="G4" s="185"/>
      <c r="H4" s="185"/>
      <c r="I4" s="150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8" customFormat="1" ht="25" customHeight="1" x14ac:dyDescent="0.2">
      <c r="B6" s="83"/>
      <c r="C6" s="46">
        <f t="array" ref="C6:I6">DaysAndWeeks+DATE(CalendarYear,9,1)-WEEKDAY(DATE(CalendarYear,9,1),(WeekStart="M")+1)+1</f>
        <v>45900</v>
      </c>
      <c r="D6" s="39">
        <v>45901</v>
      </c>
      <c r="E6" s="39">
        <v>45902</v>
      </c>
      <c r="F6" s="39">
        <v>45903</v>
      </c>
      <c r="G6" s="39">
        <v>45904</v>
      </c>
      <c r="H6" s="37">
        <v>45905</v>
      </c>
      <c r="I6" s="73">
        <v>45906</v>
      </c>
    </row>
    <row r="7" spans="2:9" s="57" customFormat="1" ht="75" customHeight="1" x14ac:dyDescent="0.15">
      <c r="B7" s="88"/>
      <c r="C7" s="61"/>
      <c r="D7" s="59"/>
      <c r="E7" s="59"/>
      <c r="F7" s="59"/>
      <c r="G7" s="147"/>
      <c r="H7" s="56"/>
      <c r="I7" s="89"/>
    </row>
    <row r="8" spans="2:9" s="38" customFormat="1" ht="25" customHeight="1" x14ac:dyDescent="0.2">
      <c r="B8" s="83"/>
      <c r="C8" s="40">
        <f t="array" ref="C8:I8">DaysAndWeeks+DATE(CalendarYear,9,1)-WEEKDAY(DATE(CalendarYear,9,1),(WeekStart="M")+1)+8</f>
        <v>45907</v>
      </c>
      <c r="D8" s="37">
        <v>45908</v>
      </c>
      <c r="E8" s="37">
        <v>45909</v>
      </c>
      <c r="F8" s="37">
        <v>45910</v>
      </c>
      <c r="G8" s="37">
        <v>45911</v>
      </c>
      <c r="H8" s="37">
        <v>45912</v>
      </c>
      <c r="I8" s="73">
        <v>45913</v>
      </c>
    </row>
    <row r="9" spans="2:9" s="57" customFormat="1" ht="75" customHeight="1" x14ac:dyDescent="0.15">
      <c r="B9" s="88"/>
      <c r="C9" s="140"/>
      <c r="D9" s="144"/>
      <c r="E9" s="141"/>
      <c r="F9" s="141"/>
      <c r="G9" s="141"/>
      <c r="H9" s="56"/>
      <c r="I9" s="89"/>
    </row>
    <row r="10" spans="2:9" s="38" customFormat="1" ht="25" customHeight="1" x14ac:dyDescent="0.2">
      <c r="B10" s="83"/>
      <c r="C10" s="40">
        <f t="array" ref="C10:I10">DaysAndWeeks+DATE(CalendarYear,9,1)-WEEKDAY(DATE(CalendarYear,9,1),(WeekStart="M")+1)+15</f>
        <v>45914</v>
      </c>
      <c r="D10" s="37">
        <v>45915</v>
      </c>
      <c r="E10" s="37">
        <v>45916</v>
      </c>
      <c r="F10" s="37">
        <v>45917</v>
      </c>
      <c r="G10" s="37">
        <v>45918</v>
      </c>
      <c r="H10" s="37">
        <v>45919</v>
      </c>
      <c r="I10" s="73">
        <v>45920</v>
      </c>
    </row>
    <row r="11" spans="2:9" s="57" customFormat="1" ht="75" customHeight="1" x14ac:dyDescent="0.15">
      <c r="B11" s="88"/>
      <c r="C11" s="135">
        <v>0.625</v>
      </c>
      <c r="D11" s="144"/>
      <c r="E11" s="141"/>
      <c r="F11" s="141"/>
      <c r="G11" s="141"/>
      <c r="H11" s="56"/>
      <c r="I11" s="89"/>
    </row>
    <row r="12" spans="2:9" s="38" customFormat="1" ht="25" customHeight="1" x14ac:dyDescent="0.2">
      <c r="B12" s="83"/>
      <c r="C12" s="40">
        <f t="array" ref="C12:I12">DaysAndWeeks+DATE(CalendarYear,9,1)-WEEKDAY(DATE(CalendarYear,9,1),(WeekStart="M")+1)+22</f>
        <v>45921</v>
      </c>
      <c r="D12" s="37">
        <v>45922</v>
      </c>
      <c r="E12" s="37">
        <v>45923</v>
      </c>
      <c r="F12" s="37">
        <v>45924</v>
      </c>
      <c r="G12" s="37">
        <v>45925</v>
      </c>
      <c r="H12" s="37">
        <v>45926</v>
      </c>
      <c r="I12" s="73">
        <v>45927</v>
      </c>
    </row>
    <row r="13" spans="2:9" s="57" customFormat="1" ht="75" customHeight="1" x14ac:dyDescent="0.15">
      <c r="B13" s="88"/>
      <c r="C13" s="140"/>
      <c r="D13" s="144"/>
      <c r="E13" s="141"/>
      <c r="F13" s="141"/>
      <c r="G13" s="141"/>
      <c r="H13" s="56"/>
      <c r="I13" s="89"/>
    </row>
    <row r="14" spans="2:9" s="38" customFormat="1" ht="25" customHeight="1" x14ac:dyDescent="0.2">
      <c r="B14" s="83"/>
      <c r="C14" s="40">
        <f t="array" ref="C14:I14">DaysAndWeeks+DATE(CalendarYear,9,1)-WEEKDAY(DATE(CalendarYear,9,1),(WeekStart="M")+1)+29</f>
        <v>45928</v>
      </c>
      <c r="D14" s="37">
        <v>45929</v>
      </c>
      <c r="E14" s="37">
        <v>45930</v>
      </c>
      <c r="F14" s="37">
        <v>45931</v>
      </c>
      <c r="G14" s="37">
        <v>45932</v>
      </c>
      <c r="H14" s="37">
        <v>45933</v>
      </c>
      <c r="I14" s="118">
        <v>45934</v>
      </c>
    </row>
    <row r="15" spans="2:9" s="57" customFormat="1" ht="75" customHeight="1" x14ac:dyDescent="0.15">
      <c r="B15" s="88"/>
      <c r="C15" s="135">
        <v>0.625</v>
      </c>
      <c r="D15" s="144"/>
      <c r="E15" s="141"/>
      <c r="F15" s="141"/>
      <c r="G15" s="141"/>
      <c r="H15" s="56"/>
      <c r="I15" s="89"/>
    </row>
    <row r="16" spans="2:9" s="38" customFormat="1" ht="25" customHeight="1" x14ac:dyDescent="0.2">
      <c r="B16" s="83"/>
      <c r="C16" s="46">
        <f t="array" ref="C16:I16">DaysAndWeeks+DATE(CalendarYear,9,1)-WEEKDAY(DATE(CalendarYear,9,1),(WeekStart="M")+1)+36</f>
        <v>45935</v>
      </c>
      <c r="D16" s="39">
        <v>45936</v>
      </c>
      <c r="E16" s="39">
        <v>45937</v>
      </c>
      <c r="F16" s="39">
        <v>45938</v>
      </c>
      <c r="G16" s="39">
        <v>45939</v>
      </c>
      <c r="H16" s="39">
        <v>45940</v>
      </c>
      <c r="I16" s="75">
        <v>45941</v>
      </c>
    </row>
    <row r="17" spans="2:9" s="57" customFormat="1" ht="75" customHeight="1" x14ac:dyDescent="0.15">
      <c r="B17" s="88"/>
      <c r="C17" s="61"/>
      <c r="D17" s="59"/>
      <c r="E17" s="59"/>
      <c r="F17" s="59"/>
      <c r="G17" s="59"/>
      <c r="H17" s="59"/>
      <c r="I17" s="95"/>
    </row>
    <row r="18" spans="2:9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D15:I15 C16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="75" zoomScaleNormal="100" workbookViewId="0">
      <pane ySplit="5" topLeftCell="A11" activePane="bottomLeft" state="frozen"/>
      <selection pane="bottomLeft" activeCell="I4" sqref="I4"/>
    </sheetView>
  </sheetViews>
  <sheetFormatPr baseColWidth="10" defaultColWidth="8.625" defaultRowHeight="17" x14ac:dyDescent="0.15"/>
  <cols>
    <col min="1" max="2" width="2.625" style="36" customWidth="1"/>
    <col min="3" max="9" width="24.375" style="36" customWidth="1"/>
    <col min="10" max="16384" width="8.625" style="36"/>
  </cols>
  <sheetData>
    <row r="1" spans="2:9" ht="15" customHeight="1" thickBot="1" x14ac:dyDescent="0.2">
      <c r="C1" s="116"/>
      <c r="D1" s="116"/>
      <c r="E1" s="116"/>
      <c r="F1" s="116"/>
      <c r="G1" s="116"/>
      <c r="H1" s="116"/>
      <c r="I1" s="116"/>
    </row>
    <row r="2" spans="2:9" ht="75" customHeight="1" thickTop="1" x14ac:dyDescent="0.15">
      <c r="B2" s="81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2">
      <c r="B3" s="81"/>
      <c r="C3" s="105"/>
      <c r="D3" s="106"/>
      <c r="E3" s="106"/>
      <c r="F3" s="107"/>
      <c r="G3" s="21" t="s">
        <v>31</v>
      </c>
      <c r="H3" s="21" t="s">
        <v>32</v>
      </c>
      <c r="I3" s="113"/>
    </row>
    <row r="4" spans="2:9" ht="75" customHeight="1" x14ac:dyDescent="0.65">
      <c r="B4" s="81"/>
      <c r="C4" s="151">
        <f>CalendarYear</f>
        <v>2025</v>
      </c>
      <c r="D4" s="185" t="s">
        <v>33</v>
      </c>
      <c r="E4" s="185"/>
      <c r="F4" s="185"/>
      <c r="G4" s="185"/>
      <c r="H4" s="185"/>
      <c r="I4" s="150"/>
    </row>
    <row r="5" spans="2:9" ht="35" customHeight="1" x14ac:dyDescent="0.15">
      <c r="B5" s="81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ht="25" customHeight="1" x14ac:dyDescent="0.2">
      <c r="B6" s="81"/>
      <c r="C6" s="123">
        <f t="array" ref="C6:I6">DaysAndWeeks+DATE(CalendarYear,10,1)-WEEKDAY(DATE(CalendarYear,10,1),(WeekStart="M")+1)+1</f>
        <v>45928</v>
      </c>
      <c r="D6" s="117">
        <v>45929</v>
      </c>
      <c r="E6" s="117">
        <v>45930</v>
      </c>
      <c r="F6" s="117">
        <v>45931</v>
      </c>
      <c r="G6" s="117">
        <v>45932</v>
      </c>
      <c r="H6" s="117">
        <v>45933</v>
      </c>
      <c r="I6" s="73">
        <v>45934</v>
      </c>
    </row>
    <row r="7" spans="2:9" s="71" customFormat="1" ht="75" customHeight="1" x14ac:dyDescent="0.15">
      <c r="B7" s="82"/>
      <c r="C7" s="146"/>
      <c r="D7" s="66"/>
      <c r="E7" s="142"/>
      <c r="F7" s="66"/>
      <c r="G7" s="133"/>
      <c r="H7" s="66"/>
      <c r="I7" s="74"/>
    </row>
    <row r="8" spans="2:9" ht="25" customHeight="1" x14ac:dyDescent="0.2">
      <c r="B8" s="81"/>
      <c r="C8" s="40">
        <f t="array" ref="C8:I8">DaysAndWeeks+DATE(CalendarYear,10,1)-WEEKDAY(DATE(CalendarYear,10,1),(WeekStart="M")+1)+8</f>
        <v>45935</v>
      </c>
      <c r="D8" s="37">
        <v>45936</v>
      </c>
      <c r="E8" s="37">
        <v>45937</v>
      </c>
      <c r="F8" s="37">
        <v>45938</v>
      </c>
      <c r="G8" s="37">
        <v>45939</v>
      </c>
      <c r="H8" s="37">
        <v>45940</v>
      </c>
      <c r="I8" s="73">
        <v>45941</v>
      </c>
    </row>
    <row r="9" spans="2:9" s="71" customFormat="1" ht="75" customHeight="1" x14ac:dyDescent="0.15">
      <c r="B9" s="82"/>
      <c r="C9" s="135">
        <v>0.625</v>
      </c>
      <c r="D9" s="145"/>
      <c r="E9" s="142"/>
      <c r="F9" s="145"/>
      <c r="G9" s="142"/>
      <c r="H9" s="66"/>
      <c r="I9" s="74"/>
    </row>
    <row r="10" spans="2:9" ht="25" customHeight="1" x14ac:dyDescent="0.2">
      <c r="B10" s="81"/>
      <c r="C10" s="40">
        <f t="array" ref="C10:I10">DaysAndWeeks+DATE(CalendarYear,10,1)-WEEKDAY(DATE(CalendarYear,10,1),(WeekStart="M")+1)+15</f>
        <v>45942</v>
      </c>
      <c r="D10" s="37">
        <v>45943</v>
      </c>
      <c r="E10" s="37">
        <v>45944</v>
      </c>
      <c r="F10" s="37">
        <v>45945</v>
      </c>
      <c r="G10" s="37">
        <v>45946</v>
      </c>
      <c r="H10" s="37">
        <v>45947</v>
      </c>
      <c r="I10" s="73">
        <v>45948</v>
      </c>
    </row>
    <row r="11" spans="2:9" s="71" customFormat="1" ht="75" customHeight="1" x14ac:dyDescent="0.15">
      <c r="B11" s="82"/>
      <c r="C11" s="146"/>
      <c r="D11" s="145"/>
      <c r="E11" s="142"/>
      <c r="F11" s="145"/>
      <c r="G11" s="142"/>
      <c r="H11" s="66"/>
      <c r="I11" s="74"/>
    </row>
    <row r="12" spans="2:9" ht="25" customHeight="1" x14ac:dyDescent="0.2">
      <c r="B12" s="81"/>
      <c r="C12" s="40">
        <f t="array" ref="C12:I12">DaysAndWeeks+DATE(CalendarYear,10,1)-WEEKDAY(DATE(CalendarYear,10,1),(WeekStart="M")+1)+22</f>
        <v>45949</v>
      </c>
      <c r="D12" s="37">
        <v>45950</v>
      </c>
      <c r="E12" s="37">
        <v>45951</v>
      </c>
      <c r="F12" s="37">
        <v>45952</v>
      </c>
      <c r="G12" s="37">
        <v>45953</v>
      </c>
      <c r="H12" s="37">
        <v>45954</v>
      </c>
      <c r="I12" s="73">
        <v>45955</v>
      </c>
    </row>
    <row r="13" spans="2:9" s="71" customFormat="1" ht="75" customHeight="1" x14ac:dyDescent="0.15">
      <c r="B13" s="82"/>
      <c r="C13" s="135">
        <v>0.625</v>
      </c>
      <c r="D13" s="145"/>
      <c r="E13" s="142"/>
      <c r="F13" s="145"/>
      <c r="G13" s="142"/>
      <c r="H13" s="66"/>
      <c r="I13" s="74"/>
    </row>
    <row r="14" spans="2:9" ht="25" customHeight="1" x14ac:dyDescent="0.2">
      <c r="B14" s="81"/>
      <c r="C14" s="40">
        <f t="array" ref="C14:I14">DaysAndWeeks+DATE(CalendarYear,10,1)-WEEKDAY(DATE(CalendarYear,10,1),(WeekStart="M")+1)+29</f>
        <v>45956</v>
      </c>
      <c r="D14" s="37">
        <v>45957</v>
      </c>
      <c r="E14" s="37">
        <v>45958</v>
      </c>
      <c r="F14" s="39">
        <v>45959</v>
      </c>
      <c r="G14" s="39">
        <v>45960</v>
      </c>
      <c r="H14" s="39">
        <v>45961</v>
      </c>
      <c r="I14" s="75">
        <v>45962</v>
      </c>
    </row>
    <row r="15" spans="2:9" s="114" customFormat="1" ht="75" customHeight="1" x14ac:dyDescent="0.15">
      <c r="B15" s="115"/>
      <c r="C15" s="146"/>
      <c r="D15" s="145"/>
      <c r="E15" s="142"/>
      <c r="F15" s="170"/>
      <c r="G15" s="143"/>
      <c r="H15" s="171"/>
      <c r="I15" s="172"/>
    </row>
    <row r="16" spans="2:9" ht="25" customHeight="1" x14ac:dyDescent="0.2">
      <c r="B16" s="81"/>
      <c r="C16" s="46">
        <f t="array" ref="C16:I16">DaysAndWeeks+DATE(CalendarYear,10,1)-WEEKDAY(DATE(CalendarYear,10,1),(WeekStart="M")+1)+36</f>
        <v>45963</v>
      </c>
      <c r="D16" s="39">
        <v>45964</v>
      </c>
      <c r="E16" s="39">
        <v>45965</v>
      </c>
      <c r="F16" s="39">
        <v>45966</v>
      </c>
      <c r="G16" s="39">
        <v>45967</v>
      </c>
      <c r="H16" s="39">
        <v>45968</v>
      </c>
      <c r="I16" s="39">
        <v>45969</v>
      </c>
    </row>
    <row r="17" spans="2:9" s="71" customFormat="1" ht="75" customHeight="1" x14ac:dyDescent="0.15">
      <c r="B17" s="82"/>
      <c r="C17" s="169"/>
      <c r="D17" s="70"/>
      <c r="E17" s="70"/>
      <c r="F17" s="70"/>
      <c r="G17" s="70"/>
      <c r="H17" s="70"/>
      <c r="I17" s="70"/>
    </row>
    <row r="18" spans="2:9" s="1" customFormat="1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="75" zoomScaleNormal="100" workbookViewId="0">
      <pane ySplit="5" topLeftCell="A11" activePane="bottomLeft" state="frozen"/>
      <selection pane="bottomLeft" activeCell="I4" sqref="I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3">
      <c r="B3" s="80"/>
      <c r="C3" s="63"/>
      <c r="D3" s="64"/>
      <c r="E3" s="64"/>
      <c r="F3" s="65"/>
      <c r="G3" s="21" t="s">
        <v>34</v>
      </c>
      <c r="H3" s="21" t="s">
        <v>35</v>
      </c>
      <c r="I3" s="84"/>
    </row>
    <row r="4" spans="2:9" ht="75" customHeight="1" x14ac:dyDescent="0.65">
      <c r="B4" s="80"/>
      <c r="C4" s="151">
        <f>CalendarYear</f>
        <v>2025</v>
      </c>
      <c r="D4" s="186" t="s">
        <v>36</v>
      </c>
      <c r="E4" s="186"/>
      <c r="F4" s="186"/>
      <c r="G4" s="186"/>
      <c r="H4" s="186"/>
      <c r="I4" s="150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1"/>
      <c r="C6" s="46">
        <f t="array" ref="C6:I6">DaysAndWeeks+DATE(CalendarYear,11,1)-WEEKDAY(DATE(CalendarYear,11,1),(WeekStart="M")+1)+1</f>
        <v>45956</v>
      </c>
      <c r="D6" s="39">
        <v>45957</v>
      </c>
      <c r="E6" s="39">
        <v>45958</v>
      </c>
      <c r="F6" s="37">
        <v>45959</v>
      </c>
      <c r="G6" s="37">
        <v>45960</v>
      </c>
      <c r="H6" s="37">
        <v>45961</v>
      </c>
      <c r="I6" s="73">
        <v>45962</v>
      </c>
    </row>
    <row r="7" spans="2:9" s="71" customFormat="1" ht="75" customHeight="1" x14ac:dyDescent="0.15">
      <c r="B7" s="82"/>
      <c r="C7" s="72"/>
      <c r="D7" s="70"/>
      <c r="E7" s="157"/>
      <c r="F7" s="145"/>
      <c r="G7" s="142"/>
      <c r="H7" s="66"/>
      <c r="I7" s="74"/>
    </row>
    <row r="8" spans="2:9" s="36" customFormat="1" ht="25" customHeight="1" x14ac:dyDescent="0.2">
      <c r="B8" s="81"/>
      <c r="C8" s="40">
        <f t="array" ref="C8:I8">DaysAndWeeks+DATE(CalendarYear,11,1)-WEEKDAY(DATE(CalendarYear,11,1),(WeekStart="M")+1)+8</f>
        <v>45963</v>
      </c>
      <c r="D8" s="37">
        <v>45964</v>
      </c>
      <c r="E8" s="117">
        <v>45965</v>
      </c>
      <c r="F8" s="37">
        <v>45966</v>
      </c>
      <c r="G8" s="37">
        <v>45967</v>
      </c>
      <c r="H8" s="37">
        <v>45968</v>
      </c>
      <c r="I8" s="73">
        <v>45969</v>
      </c>
    </row>
    <row r="9" spans="2:9" s="71" customFormat="1" ht="75" customHeight="1" x14ac:dyDescent="0.15">
      <c r="B9" s="82"/>
      <c r="C9" s="135">
        <v>0.625</v>
      </c>
      <c r="D9" s="145"/>
      <c r="E9" s="142"/>
      <c r="F9" s="145"/>
      <c r="G9" s="142"/>
      <c r="H9" s="66"/>
      <c r="I9" s="74"/>
    </row>
    <row r="10" spans="2:9" s="36" customFormat="1" ht="25" customHeight="1" x14ac:dyDescent="0.2">
      <c r="B10" s="81"/>
      <c r="C10" s="40">
        <f t="array" ref="C10:I10">DaysAndWeeks+DATE(CalendarYear,11,1)-WEEKDAY(DATE(CalendarYear,11,1),(WeekStart="M")+1)+15</f>
        <v>45970</v>
      </c>
      <c r="D10" s="37">
        <v>45971</v>
      </c>
      <c r="E10" s="117">
        <v>45972</v>
      </c>
      <c r="F10" s="37">
        <v>45973</v>
      </c>
      <c r="G10" s="37">
        <v>45974</v>
      </c>
      <c r="H10" s="37">
        <v>45975</v>
      </c>
      <c r="I10" s="73">
        <v>45976</v>
      </c>
    </row>
    <row r="11" spans="2:9" s="71" customFormat="1" ht="75" customHeight="1" x14ac:dyDescent="0.15">
      <c r="B11" s="82"/>
      <c r="C11" s="146"/>
      <c r="D11" s="145"/>
      <c r="E11" s="142"/>
      <c r="F11" s="145"/>
      <c r="G11" s="142"/>
      <c r="H11" s="66"/>
      <c r="I11" s="74"/>
    </row>
    <row r="12" spans="2:9" s="36" customFormat="1" ht="25" customHeight="1" x14ac:dyDescent="0.2">
      <c r="B12" s="81"/>
      <c r="C12" s="40">
        <f t="array" ref="C12:I12">DaysAndWeeks+DATE(CalendarYear,11,1)-WEEKDAY(DATE(CalendarYear,11,1),(WeekStart="M")+1)+22</f>
        <v>45977</v>
      </c>
      <c r="D12" s="37">
        <v>45978</v>
      </c>
      <c r="E12" s="117">
        <v>45979</v>
      </c>
      <c r="F12" s="37">
        <v>45980</v>
      </c>
      <c r="G12" s="37">
        <v>45981</v>
      </c>
      <c r="H12" s="37">
        <v>45982</v>
      </c>
      <c r="I12" s="73">
        <v>45983</v>
      </c>
    </row>
    <row r="13" spans="2:9" s="71" customFormat="1" ht="75" customHeight="1" x14ac:dyDescent="0.15">
      <c r="B13" s="82"/>
      <c r="C13" s="135">
        <v>0.625</v>
      </c>
      <c r="D13" s="145"/>
      <c r="E13" s="142"/>
      <c r="F13" s="145"/>
      <c r="G13" s="142"/>
      <c r="H13" s="66"/>
      <c r="I13" s="74"/>
    </row>
    <row r="14" spans="2:9" s="36" customFormat="1" ht="25" customHeight="1" x14ac:dyDescent="0.2">
      <c r="B14" s="81"/>
      <c r="C14" s="40">
        <f t="array" ref="C14:I14">DaysAndWeeks+DATE(CalendarYear,11,1)-WEEKDAY(DATE(CalendarYear,11,1),(WeekStart="M")+1)+29</f>
        <v>45984</v>
      </c>
      <c r="D14" s="37">
        <v>45985</v>
      </c>
      <c r="E14" s="117">
        <v>45986</v>
      </c>
      <c r="F14" s="37">
        <v>45987</v>
      </c>
      <c r="G14" s="117">
        <v>45988</v>
      </c>
      <c r="H14" s="39">
        <v>45989</v>
      </c>
      <c r="I14" s="75">
        <v>45990</v>
      </c>
    </row>
    <row r="15" spans="2:9" s="71" customFormat="1" ht="75" customHeight="1" x14ac:dyDescent="0.15">
      <c r="B15" s="82"/>
      <c r="C15" s="146"/>
      <c r="D15" s="145"/>
      <c r="E15" s="142"/>
      <c r="F15" s="66"/>
      <c r="G15" s="66"/>
      <c r="H15" s="70"/>
      <c r="I15" s="76"/>
    </row>
    <row r="16" spans="2:9" s="36" customFormat="1" ht="25" customHeight="1" x14ac:dyDescent="0.2">
      <c r="B16" s="81"/>
      <c r="C16" s="69">
        <f t="array" ref="C16:I16">DaysAndWeeks+DATE(CalendarYear,11,1)-WEEKDAY(DATE(CalendarYear,11,1),(WeekStart="M")+1)+36</f>
        <v>45991</v>
      </c>
      <c r="D16" s="39">
        <v>45992</v>
      </c>
      <c r="E16" s="39">
        <v>45993</v>
      </c>
      <c r="F16" s="39">
        <v>45994</v>
      </c>
      <c r="G16" s="39">
        <v>45995</v>
      </c>
      <c r="H16" s="39">
        <v>45996</v>
      </c>
      <c r="I16" s="75">
        <v>45997</v>
      </c>
    </row>
    <row r="17" spans="2:9" s="71" customFormat="1" ht="75" customHeight="1" x14ac:dyDescent="0.15">
      <c r="B17" s="82"/>
      <c r="C17" s="109"/>
      <c r="D17" s="70"/>
      <c r="E17" s="70"/>
      <c r="F17" s="70"/>
      <c r="G17" s="70"/>
      <c r="H17" s="70"/>
      <c r="I17" s="76"/>
    </row>
    <row r="18" spans="2:9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="93" zoomScaleNormal="100" workbookViewId="0">
      <pane ySplit="5" topLeftCell="A6" activePane="bottomLeft" state="frozen"/>
      <selection pane="bottomLeft" activeCell="G10" sqref="G10:I11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5"/>
      <c r="D1" s="85"/>
      <c r="E1" s="85"/>
      <c r="F1" s="85"/>
      <c r="G1" s="85"/>
      <c r="H1" s="85"/>
      <c r="I1" s="85"/>
    </row>
    <row r="2" spans="2:9" ht="75" customHeight="1" thickTop="1" x14ac:dyDescent="0.15">
      <c r="B2" s="80"/>
      <c r="C2" s="174" t="s">
        <v>0</v>
      </c>
      <c r="D2" s="174"/>
      <c r="E2" s="174"/>
      <c r="F2" s="174"/>
      <c r="G2" s="174"/>
      <c r="H2" s="174"/>
      <c r="I2" s="175"/>
    </row>
    <row r="3" spans="2:9" ht="20" customHeight="1" x14ac:dyDescent="0.3">
      <c r="B3" s="80"/>
      <c r="C3" s="63"/>
      <c r="D3" s="64"/>
      <c r="E3" s="64"/>
      <c r="F3" s="65"/>
      <c r="G3" s="21" t="s">
        <v>37</v>
      </c>
      <c r="H3" s="21" t="s">
        <v>38</v>
      </c>
      <c r="I3" s="84"/>
    </row>
    <row r="4" spans="2:9" ht="75" customHeight="1" x14ac:dyDescent="0.65">
      <c r="B4" s="80"/>
      <c r="C4" s="151">
        <f>CalendarYear</f>
        <v>2025</v>
      </c>
      <c r="D4" s="186" t="s">
        <v>39</v>
      </c>
      <c r="E4" s="186"/>
      <c r="F4" s="186"/>
      <c r="G4" s="186"/>
      <c r="H4" s="186"/>
      <c r="I4" s="150"/>
    </row>
    <row r="5" spans="2:9" ht="35" customHeight="1" x14ac:dyDescent="0.15">
      <c r="B5" s="80"/>
      <c r="C5" s="15" t="str">
        <f>WeekStart</f>
        <v>S</v>
      </c>
      <c r="D5" s="15" t="str">
        <f t="shared" ref="D5:I5" si="0">LEFT(TEXT(D6,"ddd"),1)</f>
        <v>M</v>
      </c>
      <c r="E5" s="15" t="str">
        <f t="shared" si="0"/>
        <v>T</v>
      </c>
      <c r="F5" s="15" t="str">
        <f t="shared" si="0"/>
        <v>W</v>
      </c>
      <c r="G5" s="15" t="str">
        <f t="shared" si="0"/>
        <v>T</v>
      </c>
      <c r="H5" s="15" t="str">
        <f t="shared" si="0"/>
        <v>F</v>
      </c>
      <c r="I5" s="16" t="str">
        <f t="shared" si="0"/>
        <v>S</v>
      </c>
    </row>
    <row r="6" spans="2:9" s="36" customFormat="1" ht="25" customHeight="1" x14ac:dyDescent="0.2">
      <c r="B6" s="81"/>
      <c r="C6" s="46">
        <f t="array" ref="C6:I6">DaysAndWeeks+DATE(CalendarYear,12,1)-WEEKDAY(DATE(CalendarYear,12,1),(WeekStart="M")+1)+1</f>
        <v>45991</v>
      </c>
      <c r="D6" s="39">
        <v>45992</v>
      </c>
      <c r="E6" s="39">
        <v>45993</v>
      </c>
      <c r="F6" s="39">
        <v>45994</v>
      </c>
      <c r="G6" s="39">
        <v>45995</v>
      </c>
      <c r="H6" s="37">
        <v>45996</v>
      </c>
      <c r="I6" s="73">
        <v>45997</v>
      </c>
    </row>
    <row r="7" spans="2:9" s="71" customFormat="1" ht="75" customHeight="1" x14ac:dyDescent="0.15">
      <c r="B7" s="82"/>
      <c r="C7" s="72"/>
      <c r="D7" s="70"/>
      <c r="E7" s="70"/>
      <c r="F7" s="70"/>
      <c r="G7" s="157"/>
      <c r="H7" s="66"/>
      <c r="I7" s="74"/>
    </row>
    <row r="8" spans="2:9" s="36" customFormat="1" ht="25" customHeight="1" x14ac:dyDescent="0.2">
      <c r="B8" s="81"/>
      <c r="C8" s="40">
        <f t="array" ref="C8:I8">DaysAndWeeks+DATE(CalendarYear,12,1)-WEEKDAY(DATE(CalendarYear,12,1),(WeekStart="M")+1)+8</f>
        <v>45998</v>
      </c>
      <c r="D8" s="37">
        <v>45999</v>
      </c>
      <c r="E8" s="40">
        <v>46000</v>
      </c>
      <c r="F8" s="37">
        <v>46001</v>
      </c>
      <c r="G8" s="37">
        <v>46002</v>
      </c>
      <c r="H8" s="37">
        <v>46003</v>
      </c>
      <c r="I8" s="73">
        <v>46004</v>
      </c>
    </row>
    <row r="9" spans="2:9" s="71" customFormat="1" ht="75" customHeight="1" x14ac:dyDescent="0.15">
      <c r="B9" s="82"/>
      <c r="C9" s="135">
        <v>0.625</v>
      </c>
      <c r="D9" s="145"/>
      <c r="E9" s="142"/>
      <c r="F9" s="145"/>
      <c r="G9" s="142"/>
      <c r="H9" s="66"/>
      <c r="I9" s="74"/>
    </row>
    <row r="10" spans="2:9" s="36" customFormat="1" ht="25" customHeight="1" x14ac:dyDescent="0.2">
      <c r="B10" s="81"/>
      <c r="C10" s="40">
        <f t="array" ref="C10:I10">DaysAndWeeks+DATE(CalendarYear,12,1)-WEEKDAY(DATE(CalendarYear,12,1),(WeekStart="M")+1)+15</f>
        <v>46005</v>
      </c>
      <c r="D10" s="37">
        <v>46006</v>
      </c>
      <c r="E10" s="37">
        <v>46007</v>
      </c>
      <c r="F10" s="37">
        <v>46008</v>
      </c>
      <c r="G10" s="37">
        <v>46009</v>
      </c>
      <c r="H10" s="37">
        <v>46010</v>
      </c>
      <c r="I10" s="73">
        <v>46011</v>
      </c>
    </row>
    <row r="11" spans="2:9" s="71" customFormat="1" ht="75" customHeight="1" x14ac:dyDescent="0.15">
      <c r="B11" s="82"/>
      <c r="C11" s="146"/>
      <c r="D11" s="145"/>
      <c r="E11" s="142"/>
      <c r="F11" s="145"/>
      <c r="G11" s="142"/>
      <c r="H11" s="66"/>
      <c r="I11" s="74"/>
    </row>
    <row r="12" spans="2:9" s="36" customFormat="1" ht="25" customHeight="1" x14ac:dyDescent="0.2">
      <c r="B12" s="81"/>
      <c r="C12" s="40">
        <f t="array" ref="C12:I12">DaysAndWeeks+DATE(CalendarYear,12,1)-WEEKDAY(DATE(CalendarYear,12,1),(WeekStart="M")+1)+22</f>
        <v>46012</v>
      </c>
      <c r="D12" s="37">
        <v>46013</v>
      </c>
      <c r="E12" s="37">
        <v>46014</v>
      </c>
      <c r="F12" s="37">
        <v>46015</v>
      </c>
      <c r="G12" s="37">
        <v>46016</v>
      </c>
      <c r="H12" s="37">
        <v>46017</v>
      </c>
      <c r="I12" s="73">
        <v>46018</v>
      </c>
    </row>
    <row r="13" spans="2:9" s="71" customFormat="1" ht="75" customHeight="1" x14ac:dyDescent="0.15">
      <c r="B13" s="82"/>
      <c r="C13" s="146"/>
      <c r="D13" s="145"/>
      <c r="E13" s="142"/>
      <c r="F13" s="145"/>
      <c r="G13" s="142"/>
      <c r="H13" s="66"/>
      <c r="I13" s="74"/>
    </row>
    <row r="14" spans="2:9" s="36" customFormat="1" ht="25" customHeight="1" x14ac:dyDescent="0.2">
      <c r="B14" s="81"/>
      <c r="C14" s="40">
        <f t="array" ref="C14:I14">DaysAndWeeks+DATE(CalendarYear,12,1)-WEEKDAY(DATE(CalendarYear,12,1),(WeekStart="M")+1)+29</f>
        <v>46019</v>
      </c>
      <c r="D14" s="37">
        <v>46020</v>
      </c>
      <c r="E14" s="37">
        <v>46021</v>
      </c>
      <c r="F14" s="37">
        <v>46022</v>
      </c>
      <c r="G14" s="37">
        <v>46023</v>
      </c>
      <c r="H14" s="37">
        <v>46024</v>
      </c>
      <c r="I14" s="73">
        <v>46025</v>
      </c>
    </row>
    <row r="15" spans="2:9" s="71" customFormat="1" ht="75" customHeight="1" x14ac:dyDescent="0.15">
      <c r="B15" s="82"/>
      <c r="C15" s="146"/>
      <c r="D15" s="145"/>
      <c r="E15" s="142"/>
      <c r="F15" s="145"/>
      <c r="G15" s="142"/>
      <c r="H15" s="66"/>
      <c r="I15" s="74"/>
    </row>
    <row r="16" spans="2:9" s="36" customFormat="1" ht="25" customHeight="1" x14ac:dyDescent="0.2">
      <c r="B16" s="81"/>
      <c r="C16" s="123">
        <f t="array" ref="C16:I16">DaysAndWeeks+DATE(CalendarYear,12,1)-WEEKDAY(DATE(CalendarYear,12,1),(WeekStart="M")+1)+36</f>
        <v>46026</v>
      </c>
      <c r="D16" s="39">
        <v>46027</v>
      </c>
      <c r="E16" s="69">
        <v>46028</v>
      </c>
      <c r="F16" s="39">
        <v>46029</v>
      </c>
      <c r="G16" s="39">
        <v>46030</v>
      </c>
      <c r="H16" s="69">
        <v>46031</v>
      </c>
      <c r="I16" s="75">
        <v>46032</v>
      </c>
    </row>
    <row r="17" spans="2:9" s="71" customFormat="1" ht="75" customHeight="1" x14ac:dyDescent="0.15">
      <c r="B17" s="82"/>
      <c r="C17" s="135">
        <v>0.625</v>
      </c>
      <c r="D17" s="70"/>
      <c r="E17" s="109"/>
      <c r="F17" s="70"/>
      <c r="G17" s="70"/>
      <c r="H17" s="109"/>
      <c r="I17" s="76"/>
    </row>
    <row r="18" spans="2:9" ht="125" customHeight="1" thickBot="1" x14ac:dyDescent="0.2">
      <c r="B18" s="80"/>
      <c r="C18" s="176" t="s">
        <v>6</v>
      </c>
      <c r="D18" s="177"/>
      <c r="E18" s="177"/>
      <c r="F18" s="177"/>
      <c r="G18" s="177"/>
      <c r="H18" s="177"/>
      <c r="I18" s="178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6 D17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9" ma:contentTypeDescription="Create a new document." ma:contentTypeScope="" ma:versionID="ab213031377987bb47958cb1d71ba183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50edd6c841c0dc5cefc9b745472bd9e8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31409B-1B2B-44B8-AB34-3A47463A5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6C8692-F6B3-410E-B61C-1C5C6E919F0F}">
  <ds:schemaRefs>
    <ds:schemaRef ds:uri="http://schemas.microsoft.com/office/2006/metadata/properties"/>
    <ds:schemaRef ds:uri="http://schemas.microsoft.com/office/infopath/2007/PartnerControls"/>
    <ds:schemaRef ds:uri="2f96a5e1-f937-4986-abb4-c031ec480b26"/>
    <ds:schemaRef ds:uri="6088389d-f9a4-418b-a8d8-f0ed3f71e6c8"/>
  </ds:schemaRefs>
</ds:datastoreItem>
</file>

<file path=customXml/itemProps3.xml><?xml version="1.0" encoding="utf-8"?>
<ds:datastoreItem xmlns:ds="http://schemas.openxmlformats.org/officeDocument/2006/customXml" ds:itemID="{D23024BB-7779-4E30-874F-CDEAEAE12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Catherine Mahanna</cp:lastModifiedBy>
  <cp:revision/>
  <dcterms:created xsi:type="dcterms:W3CDTF">2016-11-11T22:25:27Z</dcterms:created>
  <dcterms:modified xsi:type="dcterms:W3CDTF">2025-04-16T20:06:06Z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