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colon/Library/CloudStorage/OneDrive-OurFamilyWizard/Desktop/"/>
    </mc:Choice>
  </mc:AlternateContent>
  <xr:revisionPtr revIDLastSave="0" documentId="8_{78A61ADD-8EC3-974A-A77C-E6EA3A2BC9CA}" xr6:coauthVersionLast="47" xr6:coauthVersionMax="47" xr10:uidLastSave="{00000000-0000-0000-0000-000000000000}"/>
  <bookViews>
    <workbookView xWindow="900" yWindow="760" windowWidth="31000" windowHeight="20040" activeTab="2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4" i="2" l="1"/>
  <c r="C16" i="3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C12" i="5" a="1"/>
  <c r="F12" i="5" s="1"/>
  <c r="C14" i="10" a="1"/>
  <c r="D14" i="10" s="1"/>
  <c r="C6" i="6" a="1"/>
  <c r="C6" i="6" s="1"/>
  <c r="C10" i="2" a="1"/>
  <c r="F10" i="2" s="1"/>
  <c r="C16" i="6" a="1"/>
  <c r="F16" i="6" s="1"/>
  <c r="C6" i="13" a="1"/>
  <c r="H6" i="13" s="1"/>
  <c r="H5" i="13" s="1"/>
  <c r="C6" i="12"/>
  <c r="F6" i="12"/>
  <c r="F5" i="12" s="1"/>
  <c r="E6" i="10"/>
  <c r="E5" i="10" s="1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H16" i="11" s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 s="1"/>
  <c r="C16" i="4" a="1"/>
  <c r="C6" i="2" a="1"/>
  <c r="C8" i="5" a="1"/>
  <c r="C16" i="5" a="1"/>
  <c r="C16" i="9" a="1"/>
  <c r="C12" i="10" a="1"/>
  <c r="C14" i="11" a="1"/>
  <c r="H14" i="11" s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10" i="11"/>
  <c r="F6" i="3" l="1"/>
  <c r="F5" i="3" s="1"/>
  <c r="G14" i="4"/>
  <c r="H6" i="5"/>
  <c r="H5" i="5" s="1"/>
  <c r="C6" i="7"/>
  <c r="D6" i="7"/>
  <c r="D5" i="7" s="1"/>
  <c r="I6" i="7"/>
  <c r="I5" i="7" s="1"/>
  <c r="D12" i="11"/>
  <c r="F12" i="11"/>
  <c r="C12" i="11"/>
  <c r="E12" i="11"/>
  <c r="E6" i="11"/>
  <c r="E5" i="11" s="1"/>
  <c r="H6" i="3"/>
  <c r="H5" i="3" s="1"/>
  <c r="H10" i="11"/>
  <c r="C10" i="11"/>
  <c r="D10" i="11"/>
  <c r="H8" i="11"/>
  <c r="E10" i="11"/>
  <c r="G10" i="11"/>
  <c r="H14" i="4"/>
  <c r="D16" i="11"/>
  <c r="E14" i="4"/>
  <c r="E6" i="3"/>
  <c r="E5" i="3" s="1"/>
  <c r="E16" i="11"/>
  <c r="G14" i="3"/>
  <c r="D14" i="3"/>
  <c r="G14" i="7"/>
  <c r="F14" i="3"/>
  <c r="F16" i="11"/>
  <c r="F14" i="11"/>
  <c r="G16" i="11"/>
  <c r="I14" i="3"/>
  <c r="H14" i="7"/>
  <c r="H14" i="3"/>
  <c r="I6" i="12"/>
  <c r="I5" i="12" s="1"/>
  <c r="F14" i="13"/>
  <c r="E14" i="11"/>
  <c r="C14" i="11"/>
  <c r="G14" i="11"/>
  <c r="F6" i="7"/>
  <c r="F5" i="7" s="1"/>
  <c r="E6" i="7"/>
  <c r="E5" i="7" s="1"/>
  <c r="E16" i="6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<sst xmlns="http://schemas.openxmlformats.org/spreadsheetml/2006/main" count="62" uniqueCount="40">
  <si>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</si>
  <si>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</si>
  <si>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</si>
  <si>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</si>
  <si>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</si>
  <si>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</si>
  <si>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</si>
  <si>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</si>
  <si>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</si>
  <si>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</si>
  <si>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</si>
  <si>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</si>
  <si>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</si>
  <si>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</si>
  <si>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</si>
  <si>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</si>
  <si>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</si>
  <si>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</si>
  <si>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</si>
  <si>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</si>
  <si>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</si>
  <si>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</si>
  <si>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</si>
  <si>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</si>
  <si>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</si>
  <si>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</si>
  <si>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</si>
  <si>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</si>
  <si>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</si>
  <si>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</si>
  <si>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</si>
  <si>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</si>
  <si>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</si>
  <si>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</si>
  <si>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</si>
  <si>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</si>
  <si>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</si>
  <si>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</si>
  <si>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</si>
  <si>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70/30 Every Third Day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</si>
</sst>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2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14"/>
      <color rgb="FFFF0000"/>
      <name val="Montserrat Regular"/>
    </font>
    <font>
      <b/>
      <sz val="45"/>
      <color theme="0"/>
      <name val="Montserrat Regular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3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  <border>
      <left style="hair">
        <color rgb="FF8FC6E2"/>
      </left>
      <right style="hair">
        <color rgb="FF8FC6E2"/>
      </right>
      <top/>
      <bottom style="thin">
        <color theme="4" tint="0.79998168889431442"/>
      </bottom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77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18" fontId="11" fillId="5" borderId="9" xfId="11" applyNumberFormat="1" applyFont="1" applyFill="1" applyBorder="1" applyAlignment="1">
      <alignment horizontal="left" vertical="top" wrapTex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2" fillId="5" borderId="13" xfId="4" applyFont="1" applyFill="1" applyBorder="1">
      <alignment horizontal="left" indent="1"/>
    </xf>
    <xf numFmtId="164" fontId="22" fillId="5" borderId="8" xfId="4" applyFont="1" applyFill="1" applyBorder="1">
      <alignment horizontal="left" indent="1"/>
    </xf>
    <xf numFmtId="164" fontId="22" fillId="0" borderId="8" xfId="4" applyFont="1" applyFill="1" applyBorder="1">
      <alignment horizontal="left" indent="1"/>
    </xf>
    <xf numFmtId="164" fontId="22" fillId="0" borderId="14" xfId="4" applyFont="1" applyFill="1" applyBorder="1">
      <alignment horizontal="left" indent="1"/>
    </xf>
    <xf numFmtId="164" fontId="22" fillId="5" borderId="12" xfId="4" applyFont="1" applyFill="1" applyBorder="1">
      <alignment horizontal="left" indent="1"/>
    </xf>
    <xf numFmtId="164" fontId="22" fillId="0" borderId="12" xfId="4" applyFont="1" applyFill="1" applyBorder="1">
      <alignment horizontal="left" indent="1"/>
    </xf>
    <xf numFmtId="164" fontId="22" fillId="3" borderId="8" xfId="4" applyFont="1" applyFill="1" applyBorder="1">
      <alignment horizontal="left" indent="1"/>
    </xf>
    <xf numFmtId="164" fontId="22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4" fillId="2" borderId="0" xfId="3" applyFont="1" applyFill="1" applyAlignment="1">
      <alignment horizontal="left" vertical="top"/>
    </xf>
    <xf numFmtId="0" fontId="25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7" fillId="0" borderId="0" xfId="0" applyFont="1">
      <alignment horizontal="left" vertical="top" wrapText="1" indent="1"/>
    </xf>
    <xf numFmtId="164" fontId="26" fillId="0" borderId="8" xfId="4" applyFont="1" applyBorder="1">
      <alignment horizontal="left" indent="1"/>
    </xf>
    <xf numFmtId="0" fontId="26" fillId="0" borderId="0" xfId="0" applyFont="1">
      <alignment horizontal="left" vertical="top" wrapText="1" indent="1"/>
    </xf>
    <xf numFmtId="164" fontId="26" fillId="3" borderId="8" xfId="4" applyFont="1" applyFill="1" applyBorder="1">
      <alignment horizontal="left" indent="1"/>
    </xf>
    <xf numFmtId="164" fontId="26" fillId="0" borderId="25" xfId="4" applyFont="1" applyBorder="1">
      <alignment horizontal="left" indent="1"/>
    </xf>
    <xf numFmtId="164" fontId="26" fillId="0" borderId="12" xfId="4" applyFont="1" applyBorder="1">
      <alignment horizontal="left" indent="1"/>
    </xf>
    <xf numFmtId="164" fontId="26" fillId="7" borderId="8" xfId="4" applyFont="1" applyFill="1" applyBorder="1">
      <alignment horizontal="left" indent="1"/>
    </xf>
    <xf numFmtId="164" fontId="29" fillId="7" borderId="8" xfId="4" applyFont="1" applyFill="1" applyBorder="1">
      <alignment horizontal="left" indent="1"/>
    </xf>
    <xf numFmtId="164" fontId="28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6" fillId="3" borderId="25" xfId="4" applyFont="1" applyFill="1" applyBorder="1">
      <alignment horizontal="left" indent="1"/>
    </xf>
    <xf numFmtId="0" fontId="13" fillId="3" borderId="24" xfId="11" applyFont="1" applyFill="1" applyBorder="1">
      <alignment horizontal="left" vertical="top" wrapText="1" indent="1"/>
    </xf>
    <xf numFmtId="164" fontId="26" fillId="0" borderId="26" xfId="4" applyFont="1" applyBorder="1">
      <alignment horizontal="left" indent="1"/>
    </xf>
    <xf numFmtId="0" fontId="30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5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8" fillId="3" borderId="25" xfId="4" applyFont="1" applyFill="1" applyBorder="1">
      <alignment horizontal="left" indent="1"/>
    </xf>
    <xf numFmtId="164" fontId="26" fillId="3" borderId="12" xfId="4" applyFont="1" applyFill="1" applyBorder="1">
      <alignment horizontal="left" indent="1"/>
    </xf>
    <xf numFmtId="0" fontId="32" fillId="0" borderId="9" xfId="11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3" borderId="9" xfId="11" applyFont="1" applyFill="1" applyBorder="1" applyAlignment="1">
      <alignment horizontal="left" vertical="top" wrapText="1"/>
    </xf>
    <xf numFmtId="0" fontId="32" fillId="7" borderId="9" xfId="11" applyFont="1" applyFill="1" applyBorder="1" applyAlignment="1">
      <alignment horizontal="left" vertical="top" wrapText="1"/>
    </xf>
    <xf numFmtId="0" fontId="32" fillId="3" borderId="24" xfId="11" applyFont="1" applyFill="1" applyBorder="1" applyAlignment="1">
      <alignment horizontal="left" vertical="top" wrapText="1"/>
    </xf>
    <xf numFmtId="0" fontId="32" fillId="3" borderId="12" xfId="11" applyFont="1" applyFill="1" applyBorder="1" applyAlignment="1">
      <alignment horizontal="left" vertical="top" wrapText="1"/>
    </xf>
    <xf numFmtId="0" fontId="33" fillId="2" borderId="0" xfId="7" applyFont="1" applyFill="1" applyBorder="1">
      <alignment horizontal="left"/>
    </xf>
    <xf numFmtId="0" fontId="34" fillId="2" borderId="0" xfId="5" applyFont="1" applyFill="1">
      <alignment horizontal="center" vertical="top"/>
    </xf>
    <xf numFmtId="0" fontId="35" fillId="2" borderId="0" xfId="3" applyFont="1" applyFill="1" applyAlignment="1">
      <alignment horizontal="left" vertical="top"/>
    </xf>
    <xf numFmtId="164" fontId="22" fillId="0" borderId="8" xfId="4" applyFont="1" applyBorder="1">
      <alignment horizontal="left" indent="1"/>
    </xf>
    <xf numFmtId="164" fontId="26" fillId="3" borderId="9" xfId="4" applyFont="1" applyFill="1" applyBorder="1">
      <alignment horizontal="left" indent="1"/>
    </xf>
    <xf numFmtId="164" fontId="26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6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6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6" fillId="3" borderId="15" xfId="4" applyFont="1" applyFill="1" applyBorder="1">
      <alignment horizontal="left" indent="1"/>
    </xf>
    <xf numFmtId="164" fontId="26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7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6" fillId="0" borderId="6" xfId="0" applyFont="1" applyBorder="1">
      <alignment horizontal="left" vertical="top" wrapText="1" indent="1"/>
    </xf>
    <xf numFmtId="0" fontId="34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6" fillId="7" borderId="25" xfId="4" applyFont="1" applyFill="1" applyBorder="1">
      <alignment horizontal="left" indent="1"/>
    </xf>
    <xf numFmtId="0" fontId="32" fillId="0" borderId="6" xfId="0" applyFont="1" applyBorder="1" applyAlignment="1">
      <alignment horizontal="left" vertical="top" wrapText="1"/>
    </xf>
    <xf numFmtId="0" fontId="32" fillId="0" borderId="16" xfId="11" applyFont="1" applyBorder="1" applyAlignment="1">
      <alignment horizontal="left" vertical="top" wrapText="1"/>
    </xf>
    <xf numFmtId="164" fontId="29" fillId="7" borderId="14" xfId="4" applyFont="1" applyFill="1" applyBorder="1">
      <alignment horizontal="left" indent="1"/>
    </xf>
    <xf numFmtId="0" fontId="32" fillId="7" borderId="16" xfId="11" applyFont="1" applyFill="1" applyBorder="1" applyAlignment="1">
      <alignment horizontal="left" vertical="top" wrapText="1"/>
    </xf>
    <xf numFmtId="164" fontId="26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6" fillId="0" borderId="18" xfId="4" applyFont="1" applyBorder="1">
      <alignment horizontal="left" indent="1"/>
    </xf>
    <xf numFmtId="0" fontId="32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5" fillId="2" borderId="6" xfId="5" applyFont="1" applyFill="1" applyBorder="1">
      <alignment horizontal="center" vertical="top"/>
    </xf>
    <xf numFmtId="164" fontId="32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6" fillId="3" borderId="18" xfId="4" applyFont="1" applyFill="1" applyBorder="1">
      <alignment horizontal="left" indent="1"/>
    </xf>
    <xf numFmtId="0" fontId="31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32" fillId="3" borderId="0" xfId="11" applyFont="1" applyFill="1" applyBorder="1" applyAlignment="1">
      <alignment horizontal="left" vertical="top" wrapText="1"/>
    </xf>
    <xf numFmtId="0" fontId="27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22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2" fillId="3" borderId="25" xfId="4" applyFont="1" applyFill="1" applyBorder="1">
      <alignment horizontal="left" indent="1"/>
    </xf>
    <xf numFmtId="0" fontId="22" fillId="0" borderId="6" xfId="0" applyFont="1" applyBorder="1">
      <alignment horizontal="left" vertical="top" wrapText="1" indent="1"/>
    </xf>
    <xf numFmtId="164" fontId="22" fillId="0" borderId="14" xfId="4" applyFont="1" applyBorder="1">
      <alignment horizontal="left" indent="1"/>
    </xf>
    <xf numFmtId="0" fontId="36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7" fillId="0" borderId="28" xfId="0" applyFont="1" applyBorder="1">
      <alignment horizontal="left" vertical="top" wrapText="1" indent="1"/>
    </xf>
    <xf numFmtId="164" fontId="26" fillId="0" borderId="8" xfId="4" applyFont="1" applyFill="1" applyBorder="1">
      <alignment horizontal="left" indent="1"/>
    </xf>
    <xf numFmtId="164" fontId="26" fillId="0" borderId="14" xfId="4" applyFont="1" applyFill="1" applyBorder="1">
      <alignment horizontal="left" indent="1"/>
    </xf>
    <xf numFmtId="164" fontId="26" fillId="0" borderId="10" xfId="4" applyFont="1" applyFill="1" applyBorder="1">
      <alignment horizontal="left" indent="1"/>
    </xf>
    <xf numFmtId="164" fontId="26" fillId="0" borderId="25" xfId="4" applyFont="1" applyFill="1" applyBorder="1">
      <alignment horizontal="left" indent="1"/>
    </xf>
    <xf numFmtId="164" fontId="26" fillId="0" borderId="12" xfId="4" applyFont="1" applyFill="1" applyBorder="1">
      <alignment horizontal="left" indent="1"/>
    </xf>
    <xf numFmtId="164" fontId="26" fillId="0" borderId="18" xfId="4" applyFont="1" applyFill="1" applyBorder="1">
      <alignment horizontal="left" indent="1"/>
    </xf>
    <xf numFmtId="164" fontId="26" fillId="0" borderId="0" xfId="4" applyFont="1" applyFill="1" applyBorder="1">
      <alignment horizontal="left" indent="1"/>
    </xf>
    <xf numFmtId="18" fontId="11" fillId="5" borderId="9" xfId="11" applyNumberFormat="1" applyFont="1" applyFill="1" applyBorder="1" applyAlignment="1">
      <alignment horizontal="center" vertical="top" wrapText="1"/>
    </xf>
    <xf numFmtId="164" fontId="22" fillId="0" borderId="13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2" fillId="0" borderId="11" xfId="11" applyNumberFormat="1" applyFont="1" applyBorder="1" applyAlignment="1">
      <alignment horizontal="center" vertical="top" wrapText="1"/>
    </xf>
    <xf numFmtId="18" fontId="32" fillId="0" borderId="9" xfId="11" applyNumberFormat="1" applyFont="1" applyBorder="1" applyAlignment="1">
      <alignment horizontal="center" vertical="top" wrapText="1"/>
    </xf>
    <xf numFmtId="19" fontId="32" fillId="3" borderId="9" xfId="11" applyNumberFormat="1" applyFont="1" applyFill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2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8" fontId="32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38" fillId="8" borderId="7" xfId="10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/>
    <xf numFmtId="0" fontId="39" fillId="2" borderId="31" xfId="7" applyFont="1" applyFill="1" applyBorder="1">
      <alignment horizontal="left"/>
    </xf>
    <xf numFmtId="49" fontId="23" fillId="2" borderId="6" xfId="0" applyNumberFormat="1" applyFont="1" applyFill="1" applyBorder="1" applyAlignment="1"/>
    <xf numFmtId="164" fontId="26" fillId="5" borderId="8" xfId="4" applyFont="1" applyFill="1" applyBorder="1">
      <alignment horizontal="left" indent="1"/>
    </xf>
    <xf numFmtId="164" fontId="22" fillId="0" borderId="10" xfId="4" applyFont="1" applyFill="1" applyBorder="1">
      <alignment horizontal="left" indent="1"/>
    </xf>
    <xf numFmtId="18" fontId="11" fillId="3" borderId="9" xfId="11" applyNumberFormat="1" applyFont="1" applyFill="1" applyBorder="1" applyAlignment="1">
      <alignment horizontal="center" vertical="top" wrapText="1"/>
    </xf>
    <xf numFmtId="18" fontId="11" fillId="3" borderId="9" xfId="0" applyNumberFormat="1" applyFont="1" applyFill="1" applyBorder="1" applyAlignment="1">
      <alignment horizontal="center" vertical="top" wrapText="1"/>
    </xf>
    <xf numFmtId="0" fontId="12" fillId="3" borderId="9" xfId="0" applyFont="1" applyFill="1" applyBorder="1">
      <alignment horizontal="left" vertical="top" wrapText="1" indent="1"/>
    </xf>
    <xf numFmtId="0" fontId="12" fillId="3" borderId="16" xfId="0" applyFont="1" applyFill="1" applyBorder="1">
      <alignment horizontal="left" vertical="top" wrapText="1" indent="1"/>
    </xf>
    <xf numFmtId="18" fontId="11" fillId="3" borderId="17" xfId="11" applyNumberFormat="1" applyFont="1" applyFill="1" applyBorder="1" applyAlignment="1">
      <alignment horizontal="center" vertical="top" wrapText="1"/>
    </xf>
    <xf numFmtId="164" fontId="22" fillId="3" borderId="13" xfId="4" applyFont="1" applyFill="1" applyBorder="1">
      <alignment horizontal="left" indent="1"/>
    </xf>
    <xf numFmtId="164" fontId="29" fillId="5" borderId="8" xfId="4" applyFont="1" applyFill="1" applyBorder="1">
      <alignment horizontal="left" indent="1"/>
    </xf>
    <xf numFmtId="164" fontId="40" fillId="3" borderId="8" xfId="4" applyFont="1" applyFill="1" applyBorder="1">
      <alignment horizontal="left" indent="1"/>
    </xf>
    <xf numFmtId="164" fontId="26" fillId="5" borderId="25" xfId="4" applyFont="1" applyFill="1" applyBorder="1">
      <alignment horizontal="left" indent="1"/>
    </xf>
    <xf numFmtId="164" fontId="26" fillId="5" borderId="26" xfId="4" applyFont="1" applyFill="1" applyBorder="1">
      <alignment horizontal="left" indent="1"/>
    </xf>
    <xf numFmtId="18" fontId="11" fillId="3" borderId="30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  <xf numFmtId="0" fontId="32" fillId="5" borderId="16" xfId="11" applyFont="1" applyFill="1" applyBorder="1" applyAlignment="1">
      <alignment horizontal="left" vertical="top" wrapText="1"/>
    </xf>
    <xf numFmtId="164" fontId="26" fillId="5" borderId="14" xfId="4" applyFont="1" applyFill="1" applyBorder="1">
      <alignment horizontal="left" indent="1"/>
    </xf>
    <xf numFmtId="19" fontId="11" fillId="3" borderId="24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9" xfId="11" applyFont="1" applyFill="1" applyBorder="1">
      <alignment horizontal="left" vertical="top" wrapText="1" indent="1"/>
    </xf>
    <xf numFmtId="0" fontId="11" fillId="3" borderId="16" xfId="11" applyFont="1" applyFill="1" applyBorder="1">
      <alignment horizontal="left" vertical="top" wrapText="1" indent="1"/>
    </xf>
    <xf numFmtId="18" fontId="12" fillId="0" borderId="12" xfId="0" applyNumberFormat="1" applyFont="1" applyBorder="1" applyAlignment="1">
      <alignment horizontal="center" vertical="top" wrapText="1"/>
    </xf>
    <xf numFmtId="18" fontId="32" fillId="0" borderId="9" xfId="11" applyNumberFormat="1" applyFont="1" applyBorder="1" applyAlignment="1">
      <alignment horizontal="left" vertical="top" wrapText="1"/>
    </xf>
    <xf numFmtId="18" fontId="32" fillId="0" borderId="0" xfId="11" applyNumberFormat="1" applyFont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left" vertical="top" wrapText="1"/>
    </xf>
    <xf numFmtId="165" fontId="32" fillId="0" borderId="9" xfId="11" applyNumberFormat="1" applyFont="1" applyBorder="1" applyAlignment="1">
      <alignment horizontal="center" vertical="top" wrapText="1"/>
    </xf>
    <xf numFmtId="18" fontId="11" fillId="5" borderId="24" xfId="11" applyNumberFormat="1" applyFont="1" applyFill="1" applyBorder="1" applyAlignment="1">
      <alignment horizontal="center" vertical="top" wrapText="1"/>
    </xf>
    <xf numFmtId="18" fontId="11" fillId="5" borderId="30" xfId="11" applyNumberFormat="1" applyFont="1" applyFill="1" applyBorder="1" applyAlignment="1">
      <alignment horizontal="center" vertical="top" wrapText="1"/>
    </xf>
    <xf numFmtId="18" fontId="12" fillId="0" borderId="32" xfId="0" applyNumberFormat="1" applyFont="1" applyBorder="1" applyAlignment="1">
      <alignment horizontal="center" vertical="top" wrapText="1"/>
    </xf>
    <xf numFmtId="18" fontId="12" fillId="0" borderId="16" xfId="0" applyNumberFormat="1" applyFont="1" applyBorder="1">
      <alignment horizontal="left" vertical="top" wrapText="1" indent="1"/>
    </xf>
    <xf numFmtId="18" fontId="12" fillId="0" borderId="16" xfId="11" applyNumberFormat="1" applyFont="1" applyBorder="1">
      <alignment horizontal="left" vertical="top" wrapText="1" indent="1"/>
    </xf>
    <xf numFmtId="0" fontId="41" fillId="2" borderId="2" xfId="0" applyFont="1" applyFill="1" applyBorder="1" applyAlignment="1">
      <alignment horizontal="left" vertical="top" wrapText="1"/>
    </xf>
    <xf numFmtId="0" fontId="41" fillId="2" borderId="3" xfId="0" applyFont="1" applyFill="1" applyBorder="1" applyAlignment="1">
      <alignment horizontal="left" vertical="top" wrapText="1"/>
    </xf>
    <xf numFmtId="0" fontId="41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3" fillId="2" borderId="22" xfId="1" applyNumberFormat="1" applyFont="1" applyFill="1" applyBorder="1" applyAlignment="1">
      <alignment horizontal="center" vertical="center"/>
    </xf>
    <xf numFmtId="49" fontId="23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3" fillId="2" borderId="0" xfId="0" applyNumberFormat="1" applyFont="1" applyFill="1" applyAlignment="1">
      <alignment horizontal="center"/>
    </xf>
    <xf numFmtId="49" fontId="23" fillId="2" borderId="22" xfId="0" applyNumberFormat="1" applyFont="1" applyFill="1" applyBorder="1" applyAlignment="1">
      <alignment horizontal="center"/>
    </xf>
    <xf numFmtId="49" fontId="23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0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E8390"/>
      <color rgb="FF8FC6E2"/>
      <color rgb="FF172743"/>
      <color rgb="FFCFAA49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da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885</xdr:colOff>
      <xdr:row>8</xdr:row>
      <xdr:rowOff>295349</xdr:rowOff>
    </xdr:from>
    <xdr:to>
      <xdr:col>2</xdr:col>
      <xdr:colOff>1343837</xdr:colOff>
      <xdr:row>8</xdr:row>
      <xdr:rowOff>664535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2513" y="4710814"/>
          <a:ext cx="1342952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7443E7B6-E917-8DE9-FE28-83546988FDF1}"/>
            </a:ext>
          </a:extLst>
        </xdr:cNvPr>
        <xdr:cNvSpPr>
          <a:spLocks noChangeAspect="1" noChangeArrowheads="1"/>
        </xdr:cNvSpPr>
      </xdr:nvSpPr>
      <xdr:spPr bwMode="auto">
        <a:xfrm>
          <a:off x="18745200" y="13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2156046</xdr:colOff>
      <xdr:row>1</xdr:row>
      <xdr:rowOff>635000</xdr:rowOff>
    </xdr:from>
    <xdr:to>
      <xdr:col>8</xdr:col>
      <xdr:colOff>2127454</xdr:colOff>
      <xdr:row>3</xdr:row>
      <xdr:rowOff>594910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DFF8217-9D54-2474-1F24-90E8F5C3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2325" y="826977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14767</xdr:colOff>
      <xdr:row>12</xdr:row>
      <xdr:rowOff>221511</xdr:rowOff>
    </xdr:from>
    <xdr:to>
      <xdr:col>4</xdr:col>
      <xdr:colOff>1196162</xdr:colOff>
      <xdr:row>12</xdr:row>
      <xdr:rowOff>561162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E6E0572-2369-BB4B-8A08-4D8C288B9B92}"/>
            </a:ext>
          </a:extLst>
        </xdr:cNvPr>
        <xdr:cNvSpPr txBox="1"/>
      </xdr:nvSpPr>
      <xdr:spPr>
        <a:xfrm>
          <a:off x="546395" y="7206511"/>
          <a:ext cx="6143255" cy="33965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1122327</xdr:colOff>
      <xdr:row>6</xdr:row>
      <xdr:rowOff>206741</xdr:rowOff>
    </xdr:from>
    <xdr:to>
      <xdr:col>6</xdr:col>
      <xdr:colOff>1240466</xdr:colOff>
      <xdr:row>6</xdr:row>
      <xdr:rowOff>575928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AA7FFA-CF8F-6C4D-A1E1-DD33CE6745C6}"/>
            </a:ext>
          </a:extLst>
        </xdr:cNvPr>
        <xdr:cNvSpPr txBox="1"/>
      </xdr:nvSpPr>
      <xdr:spPr>
        <a:xfrm>
          <a:off x="9096746" y="3337439"/>
          <a:ext cx="259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236280</xdr:rowOff>
    </xdr:from>
    <xdr:to>
      <xdr:col>3</xdr:col>
      <xdr:colOff>1299536</xdr:colOff>
      <xdr:row>10</xdr:row>
      <xdr:rowOff>605466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ACB01D5-6DFA-184B-BE66-2B8260E4B153}"/>
            </a:ext>
          </a:extLst>
        </xdr:cNvPr>
        <xdr:cNvSpPr txBox="1"/>
      </xdr:nvSpPr>
      <xdr:spPr>
        <a:xfrm>
          <a:off x="531628" y="5936513"/>
          <a:ext cx="37804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1343835</xdr:colOff>
      <xdr:row>8</xdr:row>
      <xdr:rowOff>290625</xdr:rowOff>
    </xdr:from>
    <xdr:to>
      <xdr:col>3</xdr:col>
      <xdr:colOff>1240465</xdr:colOff>
      <xdr:row>8</xdr:row>
      <xdr:rowOff>659812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B3E3D745-F913-E843-B305-80F52DCB802F}"/>
            </a:ext>
          </a:extLst>
        </xdr:cNvPr>
        <xdr:cNvSpPr txBox="1"/>
      </xdr:nvSpPr>
      <xdr:spPr>
        <a:xfrm>
          <a:off x="1875463" y="4706090"/>
          <a:ext cx="237756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14767</xdr:colOff>
      <xdr:row>14</xdr:row>
      <xdr:rowOff>251044</xdr:rowOff>
    </xdr:from>
    <xdr:to>
      <xdr:col>2</xdr:col>
      <xdr:colOff>1299535</xdr:colOff>
      <xdr:row>14</xdr:row>
      <xdr:rowOff>620231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AB6B125-1C1B-A04C-B648-58894658C4B4}"/>
            </a:ext>
          </a:extLst>
        </xdr:cNvPr>
        <xdr:cNvSpPr txBox="1"/>
      </xdr:nvSpPr>
      <xdr:spPr>
        <a:xfrm>
          <a:off x="546395" y="8520811"/>
          <a:ext cx="12847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1240465</xdr:colOff>
      <xdr:row>6</xdr:row>
      <xdr:rowOff>206745</xdr:rowOff>
    </xdr:from>
    <xdr:to>
      <xdr:col>5</xdr:col>
      <xdr:colOff>1137093</xdr:colOff>
      <xdr:row>6</xdr:row>
      <xdr:rowOff>565889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0C2E11A-D37B-C545-87D3-9E730B2EB86D}"/>
            </a:ext>
          </a:extLst>
        </xdr:cNvPr>
        <xdr:cNvSpPr txBox="1"/>
      </xdr:nvSpPr>
      <xdr:spPr>
        <a:xfrm>
          <a:off x="1772093" y="3337443"/>
          <a:ext cx="7339419" cy="35914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1250802</xdr:colOff>
      <xdr:row>6</xdr:row>
      <xdr:rowOff>211471</xdr:rowOff>
    </xdr:from>
    <xdr:to>
      <xdr:col>9</xdr:col>
      <xdr:colOff>1</xdr:colOff>
      <xdr:row>6</xdr:row>
      <xdr:rowOff>570615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31F4CD0-C99C-FB42-BBB8-F18AF3884CCA}"/>
            </a:ext>
          </a:extLst>
        </xdr:cNvPr>
        <xdr:cNvSpPr txBox="1"/>
      </xdr:nvSpPr>
      <xdr:spPr>
        <a:xfrm>
          <a:off x="11706151" y="3342169"/>
          <a:ext cx="6191990" cy="35914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1250802</xdr:colOff>
      <xdr:row>8</xdr:row>
      <xdr:rowOff>285310</xdr:rowOff>
    </xdr:from>
    <xdr:to>
      <xdr:col>6</xdr:col>
      <xdr:colOff>1314302</xdr:colOff>
      <xdr:row>8</xdr:row>
      <xdr:rowOff>664536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3781BF-0396-004E-A481-B630F15BC01B}"/>
            </a:ext>
          </a:extLst>
        </xdr:cNvPr>
        <xdr:cNvSpPr txBox="1"/>
      </xdr:nvSpPr>
      <xdr:spPr>
        <a:xfrm>
          <a:off x="4263360" y="4700775"/>
          <a:ext cx="7506291" cy="37922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1314304</xdr:colOff>
      <xdr:row>8</xdr:row>
      <xdr:rowOff>280580</xdr:rowOff>
    </xdr:from>
    <xdr:to>
      <xdr:col>7</xdr:col>
      <xdr:colOff>1151861</xdr:colOff>
      <xdr:row>8</xdr:row>
      <xdr:rowOff>649767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10F86E4-A6C7-9B45-B839-952163A54DCC}"/>
            </a:ext>
          </a:extLst>
        </xdr:cNvPr>
        <xdr:cNvSpPr txBox="1"/>
      </xdr:nvSpPr>
      <xdr:spPr>
        <a:xfrm>
          <a:off x="11769653" y="4696045"/>
          <a:ext cx="2318487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1299535</xdr:colOff>
      <xdr:row>10</xdr:row>
      <xdr:rowOff>236279</xdr:rowOff>
    </xdr:from>
    <xdr:to>
      <xdr:col>4</xdr:col>
      <xdr:colOff>1314303</xdr:colOff>
      <xdr:row>10</xdr:row>
      <xdr:rowOff>605466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B79A66E-F019-7341-88D4-A0C73A94EC88}"/>
            </a:ext>
          </a:extLst>
        </xdr:cNvPr>
        <xdr:cNvSpPr txBox="1"/>
      </xdr:nvSpPr>
      <xdr:spPr>
        <a:xfrm>
          <a:off x="4312093" y="5936512"/>
          <a:ext cx="249569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1319913</xdr:colOff>
      <xdr:row>10</xdr:row>
      <xdr:rowOff>226237</xdr:rowOff>
    </xdr:from>
    <xdr:to>
      <xdr:col>7</xdr:col>
      <xdr:colOff>1270000</xdr:colOff>
      <xdr:row>10</xdr:row>
      <xdr:rowOff>595423</xdr:rowOff>
    </xdr:to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3E71C5F-3D8A-6F4E-8FC9-F841871A3AA1}"/>
            </a:ext>
          </a:extLst>
        </xdr:cNvPr>
        <xdr:cNvSpPr txBox="1"/>
      </xdr:nvSpPr>
      <xdr:spPr>
        <a:xfrm>
          <a:off x="6813401" y="5926470"/>
          <a:ext cx="7392878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1181396</xdr:colOff>
      <xdr:row>12</xdr:row>
      <xdr:rowOff>206745</xdr:rowOff>
    </xdr:from>
    <xdr:to>
      <xdr:col>5</xdr:col>
      <xdr:colOff>1196163</xdr:colOff>
      <xdr:row>12</xdr:row>
      <xdr:rowOff>575932</xdr:rowOff>
    </xdr:to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6E9F6C07-A917-1C49-8DB6-5606AB2F404B}"/>
            </a:ext>
          </a:extLst>
        </xdr:cNvPr>
        <xdr:cNvSpPr txBox="1"/>
      </xdr:nvSpPr>
      <xdr:spPr>
        <a:xfrm>
          <a:off x="6674884" y="7191745"/>
          <a:ext cx="249569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1181396</xdr:colOff>
      <xdr:row>12</xdr:row>
      <xdr:rowOff>206744</xdr:rowOff>
    </xdr:from>
    <xdr:to>
      <xdr:col>8</xdr:col>
      <xdr:colOff>1329070</xdr:colOff>
      <xdr:row>12</xdr:row>
      <xdr:rowOff>575930</xdr:rowOff>
    </xdr:to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7E92DEE-5807-AA42-A956-28882726D2EC}"/>
            </a:ext>
          </a:extLst>
        </xdr:cNvPr>
        <xdr:cNvSpPr txBox="1"/>
      </xdr:nvSpPr>
      <xdr:spPr>
        <a:xfrm>
          <a:off x="9155815" y="7191744"/>
          <a:ext cx="7590464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1289493</xdr:colOff>
      <xdr:row>14</xdr:row>
      <xdr:rowOff>236281</xdr:rowOff>
    </xdr:from>
    <xdr:to>
      <xdr:col>4</xdr:col>
      <xdr:colOff>2466163</xdr:colOff>
      <xdr:row>14</xdr:row>
      <xdr:rowOff>620233</xdr:rowOff>
    </xdr:to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613DBFB-7CD3-1A41-A43A-041BA954FC10}"/>
            </a:ext>
          </a:extLst>
        </xdr:cNvPr>
        <xdr:cNvSpPr txBox="1"/>
      </xdr:nvSpPr>
      <xdr:spPr>
        <a:xfrm>
          <a:off x="1821121" y="8506048"/>
          <a:ext cx="6138530" cy="38395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1162196</xdr:colOff>
      <xdr:row>8</xdr:row>
      <xdr:rowOff>290033</xdr:rowOff>
    </xdr:from>
    <xdr:to>
      <xdr:col>9</xdr:col>
      <xdr:colOff>14767</xdr:colOff>
      <xdr:row>8</xdr:row>
      <xdr:rowOff>659219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0866A6-994D-3C4A-B7F1-6172A88A0676}"/>
            </a:ext>
          </a:extLst>
        </xdr:cNvPr>
        <xdr:cNvSpPr txBox="1"/>
      </xdr:nvSpPr>
      <xdr:spPr>
        <a:xfrm>
          <a:off x="14098475" y="4705498"/>
          <a:ext cx="3814432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1259958</xdr:colOff>
      <xdr:row>10</xdr:row>
      <xdr:rowOff>226237</xdr:rowOff>
    </xdr:from>
    <xdr:to>
      <xdr:col>8</xdr:col>
      <xdr:colOff>1274726</xdr:colOff>
      <xdr:row>10</xdr:row>
      <xdr:rowOff>595424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F181E0C-CC49-7A41-ADAA-021F733AA908}"/>
            </a:ext>
          </a:extLst>
        </xdr:cNvPr>
        <xdr:cNvSpPr txBox="1"/>
      </xdr:nvSpPr>
      <xdr:spPr>
        <a:xfrm>
          <a:off x="14196237" y="5926470"/>
          <a:ext cx="249569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1285061</xdr:colOff>
      <xdr:row>10</xdr:row>
      <xdr:rowOff>220921</xdr:rowOff>
    </xdr:from>
    <xdr:to>
      <xdr:col>8</xdr:col>
      <xdr:colOff>2466163</xdr:colOff>
      <xdr:row>10</xdr:row>
      <xdr:rowOff>590107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2C1A0D9-7346-6644-BA66-788C032E3149}"/>
            </a:ext>
          </a:extLst>
        </xdr:cNvPr>
        <xdr:cNvSpPr txBox="1"/>
      </xdr:nvSpPr>
      <xdr:spPr>
        <a:xfrm>
          <a:off x="16702270" y="5921154"/>
          <a:ext cx="1181102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8</xdr:col>
      <xdr:colOff>1338521</xdr:colOff>
      <xdr:row>12</xdr:row>
      <xdr:rowOff>201428</xdr:rowOff>
    </xdr:from>
    <xdr:to>
      <xdr:col>9</xdr:col>
      <xdr:colOff>0</xdr:colOff>
      <xdr:row>12</xdr:row>
      <xdr:rowOff>570615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E1F56E6-2F3E-7B4C-B572-4B512043D7E1}"/>
            </a:ext>
          </a:extLst>
        </xdr:cNvPr>
        <xdr:cNvSpPr txBox="1"/>
      </xdr:nvSpPr>
      <xdr:spPr>
        <a:xfrm>
          <a:off x="16755730" y="7186428"/>
          <a:ext cx="114241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2130778</xdr:colOff>
      <xdr:row>1</xdr:row>
      <xdr:rowOff>620888</xdr:rowOff>
    </xdr:from>
    <xdr:to>
      <xdr:col>8</xdr:col>
      <xdr:colOff>2099560</xdr:colOff>
      <xdr:row>3</xdr:row>
      <xdr:rowOff>578173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A3C8AF4-B4E6-1F4A-8163-C54F7026C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778" y="818444"/>
          <a:ext cx="2452338" cy="117084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</xdr:row>
      <xdr:rowOff>174650</xdr:rowOff>
    </xdr:from>
    <xdr:to>
      <xdr:col>7</xdr:col>
      <xdr:colOff>1185333</xdr:colOff>
      <xdr:row>6</xdr:row>
      <xdr:rowOff>543836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F255BC5-5264-2E47-9708-6D69BEB7E138}"/>
            </a:ext>
          </a:extLst>
        </xdr:cNvPr>
        <xdr:cNvSpPr txBox="1"/>
      </xdr:nvSpPr>
      <xdr:spPr>
        <a:xfrm>
          <a:off x="7986889" y="3321428"/>
          <a:ext cx="6152444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14111</xdr:colOff>
      <xdr:row>8</xdr:row>
      <xdr:rowOff>222367</xdr:rowOff>
    </xdr:from>
    <xdr:to>
      <xdr:col>5</xdr:col>
      <xdr:colOff>1058333</xdr:colOff>
      <xdr:row>8</xdr:row>
      <xdr:rowOff>576785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3DAC37B-50B5-B842-93EF-4C8E651066E5}"/>
            </a:ext>
          </a:extLst>
        </xdr:cNvPr>
        <xdr:cNvSpPr txBox="1"/>
      </xdr:nvSpPr>
      <xdr:spPr>
        <a:xfrm>
          <a:off x="550333" y="4653256"/>
          <a:ext cx="8494889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1054166</xdr:colOff>
      <xdr:row>8</xdr:row>
      <xdr:rowOff>207599</xdr:rowOff>
    </xdr:from>
    <xdr:to>
      <xdr:col>6</xdr:col>
      <xdr:colOff>1255889</xdr:colOff>
      <xdr:row>8</xdr:row>
      <xdr:rowOff>576786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F3254C4-0B50-F348-AF86-6B9824BF0A0B}"/>
            </a:ext>
          </a:extLst>
        </xdr:cNvPr>
        <xdr:cNvSpPr txBox="1"/>
      </xdr:nvSpPr>
      <xdr:spPr>
        <a:xfrm>
          <a:off x="9041055" y="4638488"/>
          <a:ext cx="268527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28222</xdr:colOff>
      <xdr:row>10</xdr:row>
      <xdr:rowOff>296402</xdr:rowOff>
    </xdr:from>
    <xdr:to>
      <xdr:col>3</xdr:col>
      <xdr:colOff>1171221</xdr:colOff>
      <xdr:row>10</xdr:row>
      <xdr:rowOff>665588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182E210-4789-684C-B2D6-E6FC043F219C}"/>
            </a:ext>
          </a:extLst>
        </xdr:cNvPr>
        <xdr:cNvSpPr txBox="1"/>
      </xdr:nvSpPr>
      <xdr:spPr>
        <a:xfrm>
          <a:off x="564444" y="6011402"/>
          <a:ext cx="362655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1192455</xdr:colOff>
      <xdr:row>6</xdr:row>
      <xdr:rowOff>176554</xdr:rowOff>
    </xdr:from>
    <xdr:to>
      <xdr:col>8</xdr:col>
      <xdr:colOff>1213554</xdr:colOff>
      <xdr:row>6</xdr:row>
      <xdr:rowOff>545741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4EF32B0-4838-B94F-8739-DA702EC5671B}"/>
            </a:ext>
          </a:extLst>
        </xdr:cNvPr>
        <xdr:cNvSpPr txBox="1"/>
      </xdr:nvSpPr>
      <xdr:spPr>
        <a:xfrm>
          <a:off x="14146455" y="3323332"/>
          <a:ext cx="2504655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1212934</xdr:colOff>
      <xdr:row>6</xdr:row>
      <xdr:rowOff>171239</xdr:rowOff>
    </xdr:from>
    <xdr:to>
      <xdr:col>9</xdr:col>
      <xdr:colOff>14145</xdr:colOff>
      <xdr:row>6</xdr:row>
      <xdr:rowOff>540425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A10B2E-BBE0-B445-ABB8-11791C72BAB4}"/>
            </a:ext>
          </a:extLst>
        </xdr:cNvPr>
        <xdr:cNvSpPr txBox="1"/>
      </xdr:nvSpPr>
      <xdr:spPr>
        <a:xfrm>
          <a:off x="16650490" y="3318017"/>
          <a:ext cx="1284766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1253067</xdr:colOff>
      <xdr:row>8</xdr:row>
      <xdr:rowOff>205434</xdr:rowOff>
    </xdr:from>
    <xdr:to>
      <xdr:col>8</xdr:col>
      <xdr:colOff>2469444</xdr:colOff>
      <xdr:row>8</xdr:row>
      <xdr:rowOff>559852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D6765EE-F919-AA44-9C94-2F6A808EAEA6}"/>
            </a:ext>
          </a:extLst>
        </xdr:cNvPr>
        <xdr:cNvSpPr txBox="1"/>
      </xdr:nvSpPr>
      <xdr:spPr>
        <a:xfrm>
          <a:off x="11723511" y="4636323"/>
          <a:ext cx="6183489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1164232</xdr:colOff>
      <xdr:row>10</xdr:row>
      <xdr:rowOff>289443</xdr:rowOff>
    </xdr:from>
    <xdr:to>
      <xdr:col>4</xdr:col>
      <xdr:colOff>1365955</xdr:colOff>
      <xdr:row>10</xdr:row>
      <xdr:rowOff>658630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EDC6F3F-7C73-114C-AB6F-9937DCB414EE}"/>
            </a:ext>
          </a:extLst>
        </xdr:cNvPr>
        <xdr:cNvSpPr txBox="1"/>
      </xdr:nvSpPr>
      <xdr:spPr>
        <a:xfrm>
          <a:off x="4184010" y="6004443"/>
          <a:ext cx="268527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1351845</xdr:colOff>
      <xdr:row>10</xdr:row>
      <xdr:rowOff>293580</xdr:rowOff>
    </xdr:from>
    <xdr:to>
      <xdr:col>8</xdr:col>
      <xdr:colOff>1241777</xdr:colOff>
      <xdr:row>10</xdr:row>
      <xdr:rowOff>662766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1477016-DC5B-214A-B3BA-F876B8211A37}"/>
            </a:ext>
          </a:extLst>
        </xdr:cNvPr>
        <xdr:cNvSpPr txBox="1"/>
      </xdr:nvSpPr>
      <xdr:spPr>
        <a:xfrm>
          <a:off x="6855178" y="6008580"/>
          <a:ext cx="982415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8</xdr:col>
      <xdr:colOff>1231965</xdr:colOff>
      <xdr:row>10</xdr:row>
      <xdr:rowOff>286621</xdr:rowOff>
    </xdr:from>
    <xdr:to>
      <xdr:col>9</xdr:col>
      <xdr:colOff>14111</xdr:colOff>
      <xdr:row>10</xdr:row>
      <xdr:rowOff>655808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73BA7BA-E5B8-9742-96EE-DD7703EC7F6C}"/>
            </a:ext>
          </a:extLst>
        </xdr:cNvPr>
        <xdr:cNvSpPr txBox="1"/>
      </xdr:nvSpPr>
      <xdr:spPr>
        <a:xfrm>
          <a:off x="16669521" y="6001621"/>
          <a:ext cx="126570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1327755</xdr:colOff>
      <xdr:row>12</xdr:row>
      <xdr:rowOff>221775</xdr:rowOff>
    </xdr:from>
    <xdr:to>
      <xdr:col>6</xdr:col>
      <xdr:colOff>1213556</xdr:colOff>
      <xdr:row>12</xdr:row>
      <xdr:rowOff>590961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5B3EF6C-40C2-D94A-AC4C-66965C04BB80}"/>
            </a:ext>
          </a:extLst>
        </xdr:cNvPr>
        <xdr:cNvSpPr txBox="1"/>
      </xdr:nvSpPr>
      <xdr:spPr>
        <a:xfrm>
          <a:off x="1863977" y="7220886"/>
          <a:ext cx="9820023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12</xdr:row>
      <xdr:rowOff>221772</xdr:rowOff>
    </xdr:from>
    <xdr:to>
      <xdr:col>2</xdr:col>
      <xdr:colOff>1357291</xdr:colOff>
      <xdr:row>12</xdr:row>
      <xdr:rowOff>590959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61BAD1D5-9B66-E542-BD5D-AE822959D543}"/>
            </a:ext>
          </a:extLst>
        </xdr:cNvPr>
        <xdr:cNvSpPr txBox="1"/>
      </xdr:nvSpPr>
      <xdr:spPr>
        <a:xfrm>
          <a:off x="536222" y="7220883"/>
          <a:ext cx="135729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1199444</xdr:colOff>
      <xdr:row>12</xdr:row>
      <xdr:rowOff>225778</xdr:rowOff>
    </xdr:from>
    <xdr:to>
      <xdr:col>7</xdr:col>
      <xdr:colOff>1401166</xdr:colOff>
      <xdr:row>12</xdr:row>
      <xdr:rowOff>594965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5852C92E-CA54-D14D-926A-900CFC9B8772}"/>
            </a:ext>
          </a:extLst>
        </xdr:cNvPr>
        <xdr:cNvSpPr txBox="1"/>
      </xdr:nvSpPr>
      <xdr:spPr>
        <a:xfrm>
          <a:off x="11669888" y="7224889"/>
          <a:ext cx="268527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1411111</xdr:colOff>
      <xdr:row>12</xdr:row>
      <xdr:rowOff>225778</xdr:rowOff>
    </xdr:from>
    <xdr:to>
      <xdr:col>9</xdr:col>
      <xdr:colOff>14111</xdr:colOff>
      <xdr:row>12</xdr:row>
      <xdr:rowOff>594964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AD1B273-6492-8D47-AAF0-69C9CF49AF8A}"/>
            </a:ext>
          </a:extLst>
        </xdr:cNvPr>
        <xdr:cNvSpPr txBox="1"/>
      </xdr:nvSpPr>
      <xdr:spPr>
        <a:xfrm>
          <a:off x="14365111" y="7224889"/>
          <a:ext cx="3570111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14</xdr:row>
      <xdr:rowOff>303292</xdr:rowOff>
    </xdr:from>
    <xdr:to>
      <xdr:col>4</xdr:col>
      <xdr:colOff>1030111</xdr:colOff>
      <xdr:row>14</xdr:row>
      <xdr:rowOff>672478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6198376-462F-1043-AF32-148DDA9A1463}"/>
            </a:ext>
          </a:extLst>
        </xdr:cNvPr>
        <xdr:cNvSpPr txBox="1"/>
      </xdr:nvSpPr>
      <xdr:spPr>
        <a:xfrm>
          <a:off x="536222" y="8586514"/>
          <a:ext cx="5997222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1030111</xdr:colOff>
      <xdr:row>14</xdr:row>
      <xdr:rowOff>296333</xdr:rowOff>
    </xdr:from>
    <xdr:to>
      <xdr:col>5</xdr:col>
      <xdr:colOff>14111</xdr:colOff>
      <xdr:row>14</xdr:row>
      <xdr:rowOff>665520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488A2D21-B056-9C4B-9DE6-61ACF11645B7}"/>
            </a:ext>
          </a:extLst>
        </xdr:cNvPr>
        <xdr:cNvSpPr txBox="1"/>
      </xdr:nvSpPr>
      <xdr:spPr>
        <a:xfrm>
          <a:off x="6533444" y="8579555"/>
          <a:ext cx="1467556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6E5703-03DD-0246-AFB6-AA43393A3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12</xdr:row>
      <xdr:rowOff>280877</xdr:rowOff>
    </xdr:from>
    <xdr:to>
      <xdr:col>3</xdr:col>
      <xdr:colOff>1219200</xdr:colOff>
      <xdr:row>12</xdr:row>
      <xdr:rowOff>635295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1D28A35-30FD-DA4B-B6BB-29B2283F7D7D}"/>
            </a:ext>
          </a:extLst>
        </xdr:cNvPr>
        <xdr:cNvSpPr txBox="1"/>
      </xdr:nvSpPr>
      <xdr:spPr>
        <a:xfrm>
          <a:off x="546100" y="7202377"/>
          <a:ext cx="36830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1299533</xdr:colOff>
      <xdr:row>14</xdr:row>
      <xdr:rowOff>268179</xdr:rowOff>
    </xdr:from>
    <xdr:to>
      <xdr:col>6</xdr:col>
      <xdr:colOff>1231900</xdr:colOff>
      <xdr:row>14</xdr:row>
      <xdr:rowOff>637365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50981BC-04B7-DD4F-A9CB-87AC33452656}"/>
            </a:ext>
          </a:extLst>
        </xdr:cNvPr>
        <xdr:cNvSpPr txBox="1"/>
      </xdr:nvSpPr>
      <xdr:spPr>
        <a:xfrm>
          <a:off x="1832933" y="8459679"/>
          <a:ext cx="983836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14</xdr:row>
      <xdr:rowOff>268176</xdr:rowOff>
    </xdr:from>
    <xdr:to>
      <xdr:col>2</xdr:col>
      <xdr:colOff>1329069</xdr:colOff>
      <xdr:row>14</xdr:row>
      <xdr:rowOff>637363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BD426375-E076-D14A-8A80-89F8C68B84AC}"/>
            </a:ext>
          </a:extLst>
        </xdr:cNvPr>
        <xdr:cNvSpPr txBox="1"/>
      </xdr:nvSpPr>
      <xdr:spPr>
        <a:xfrm>
          <a:off x="533400" y="84596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</xdr:colOff>
      <xdr:row>6</xdr:row>
      <xdr:rowOff>254000</xdr:rowOff>
    </xdr:from>
    <xdr:to>
      <xdr:col>5</xdr:col>
      <xdr:colOff>1231900</xdr:colOff>
      <xdr:row>6</xdr:row>
      <xdr:rowOff>623187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53F5D6-7825-894B-8BEB-FD8AAE803C06}"/>
            </a:ext>
          </a:extLst>
        </xdr:cNvPr>
        <xdr:cNvSpPr txBox="1"/>
      </xdr:nvSpPr>
      <xdr:spPr>
        <a:xfrm>
          <a:off x="7975600" y="3365500"/>
          <a:ext cx="12192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6</xdr:row>
      <xdr:rowOff>254000</xdr:rowOff>
    </xdr:from>
    <xdr:to>
      <xdr:col>9</xdr:col>
      <xdr:colOff>12699</xdr:colOff>
      <xdr:row>6</xdr:row>
      <xdr:rowOff>623186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6453C6D-49FD-3A48-9C1C-F3C7DD2EDE77}"/>
            </a:ext>
          </a:extLst>
        </xdr:cNvPr>
        <xdr:cNvSpPr txBox="1"/>
      </xdr:nvSpPr>
      <xdr:spPr>
        <a:xfrm>
          <a:off x="9182100" y="3365500"/>
          <a:ext cx="86994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25401</xdr:colOff>
      <xdr:row>8</xdr:row>
      <xdr:rowOff>279403</xdr:rowOff>
    </xdr:from>
    <xdr:to>
      <xdr:col>2</xdr:col>
      <xdr:colOff>1320800</xdr:colOff>
      <xdr:row>8</xdr:row>
      <xdr:rowOff>648589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7C9EDF9-DCA6-F849-82EC-04816857A501}"/>
            </a:ext>
          </a:extLst>
        </xdr:cNvPr>
        <xdr:cNvSpPr txBox="1"/>
      </xdr:nvSpPr>
      <xdr:spPr>
        <a:xfrm>
          <a:off x="558801" y="4660903"/>
          <a:ext cx="12953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1333500</xdr:colOff>
      <xdr:row>8</xdr:row>
      <xdr:rowOff>279400</xdr:rowOff>
    </xdr:from>
    <xdr:to>
      <xdr:col>3</xdr:col>
      <xdr:colOff>1282700</xdr:colOff>
      <xdr:row>8</xdr:row>
      <xdr:rowOff>648587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4AE2672-FC20-9947-B93E-C521C2D356E4}"/>
            </a:ext>
          </a:extLst>
        </xdr:cNvPr>
        <xdr:cNvSpPr txBox="1"/>
      </xdr:nvSpPr>
      <xdr:spPr>
        <a:xfrm>
          <a:off x="1866900" y="4660900"/>
          <a:ext cx="24257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8</xdr:row>
      <xdr:rowOff>279400</xdr:rowOff>
    </xdr:from>
    <xdr:to>
      <xdr:col>7</xdr:col>
      <xdr:colOff>1244600</xdr:colOff>
      <xdr:row>8</xdr:row>
      <xdr:rowOff>648586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DF5593-33FF-114E-9AD3-BE352FB33BB0}"/>
            </a:ext>
          </a:extLst>
        </xdr:cNvPr>
        <xdr:cNvSpPr txBox="1"/>
      </xdr:nvSpPr>
      <xdr:spPr>
        <a:xfrm>
          <a:off x="4279900" y="4660900"/>
          <a:ext cx="98806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1257300</xdr:colOff>
      <xdr:row>8</xdr:row>
      <xdr:rowOff>279400</xdr:rowOff>
    </xdr:from>
    <xdr:to>
      <xdr:col>8</xdr:col>
      <xdr:colOff>1206500</xdr:colOff>
      <xdr:row>8</xdr:row>
      <xdr:rowOff>648587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7FB4551-88AF-C245-8640-7D3254D0C082}"/>
            </a:ext>
          </a:extLst>
        </xdr:cNvPr>
        <xdr:cNvSpPr txBox="1"/>
      </xdr:nvSpPr>
      <xdr:spPr>
        <a:xfrm>
          <a:off x="14173200" y="4660900"/>
          <a:ext cx="24257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1219201</xdr:colOff>
      <xdr:row>8</xdr:row>
      <xdr:rowOff>279403</xdr:rowOff>
    </xdr:from>
    <xdr:to>
      <xdr:col>9</xdr:col>
      <xdr:colOff>38100</xdr:colOff>
      <xdr:row>8</xdr:row>
      <xdr:rowOff>648589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4910FE0-F8D6-A047-A437-4BC8B4A839C2}"/>
            </a:ext>
          </a:extLst>
        </xdr:cNvPr>
        <xdr:cNvSpPr txBox="1"/>
      </xdr:nvSpPr>
      <xdr:spPr>
        <a:xfrm>
          <a:off x="16611601" y="4660903"/>
          <a:ext cx="12953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1</xdr:col>
      <xdr:colOff>241300</xdr:colOff>
      <xdr:row>10</xdr:row>
      <xdr:rowOff>279400</xdr:rowOff>
    </xdr:from>
    <xdr:to>
      <xdr:col>5</xdr:col>
      <xdr:colOff>939800</xdr:colOff>
      <xdr:row>10</xdr:row>
      <xdr:rowOff>648586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4E38845-02FF-DB4E-B4BB-79FA69532C2C}"/>
            </a:ext>
          </a:extLst>
        </xdr:cNvPr>
        <xdr:cNvSpPr txBox="1"/>
      </xdr:nvSpPr>
      <xdr:spPr>
        <a:xfrm>
          <a:off x="508000" y="5930900"/>
          <a:ext cx="83947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939800</xdr:colOff>
      <xdr:row>10</xdr:row>
      <xdr:rowOff>279400</xdr:rowOff>
    </xdr:from>
    <xdr:to>
      <xdr:col>6</xdr:col>
      <xdr:colOff>889000</xdr:colOff>
      <xdr:row>10</xdr:row>
      <xdr:rowOff>648587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FE667A5-CCAB-C944-B33B-764E1F8BE3EF}"/>
            </a:ext>
          </a:extLst>
        </xdr:cNvPr>
        <xdr:cNvSpPr txBox="1"/>
      </xdr:nvSpPr>
      <xdr:spPr>
        <a:xfrm>
          <a:off x="8902700" y="5930900"/>
          <a:ext cx="24257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901700</xdr:colOff>
      <xdr:row>10</xdr:row>
      <xdr:rowOff>279400</xdr:rowOff>
    </xdr:from>
    <xdr:to>
      <xdr:col>9</xdr:col>
      <xdr:colOff>25400</xdr:colOff>
      <xdr:row>10</xdr:row>
      <xdr:rowOff>648586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B2C7F0B-A2D5-EF43-A84A-A1CF3953DC5E}"/>
            </a:ext>
          </a:extLst>
        </xdr:cNvPr>
        <xdr:cNvSpPr txBox="1"/>
      </xdr:nvSpPr>
      <xdr:spPr>
        <a:xfrm>
          <a:off x="11341100" y="5930900"/>
          <a:ext cx="65532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1219200</xdr:colOff>
      <xdr:row>12</xdr:row>
      <xdr:rowOff>266700</xdr:rowOff>
    </xdr:from>
    <xdr:to>
      <xdr:col>4</xdr:col>
      <xdr:colOff>1168400</xdr:colOff>
      <xdr:row>12</xdr:row>
      <xdr:rowOff>635887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FC207339-E618-CD49-9C3F-31A8561665C8}"/>
            </a:ext>
          </a:extLst>
        </xdr:cNvPr>
        <xdr:cNvSpPr txBox="1"/>
      </xdr:nvSpPr>
      <xdr:spPr>
        <a:xfrm>
          <a:off x="4229100" y="7188200"/>
          <a:ext cx="24257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12</xdr:row>
      <xdr:rowOff>268177</xdr:rowOff>
    </xdr:from>
    <xdr:to>
      <xdr:col>8</xdr:col>
      <xdr:colOff>1231900</xdr:colOff>
      <xdr:row>12</xdr:row>
      <xdr:rowOff>622595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BF899EA7-CAC2-4C44-A5FC-1BE6AAB20658}"/>
            </a:ext>
          </a:extLst>
        </xdr:cNvPr>
        <xdr:cNvSpPr txBox="1"/>
      </xdr:nvSpPr>
      <xdr:spPr>
        <a:xfrm>
          <a:off x="6654800" y="7189677"/>
          <a:ext cx="99695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1231900</xdr:colOff>
      <xdr:row>12</xdr:row>
      <xdr:rowOff>254000</xdr:rowOff>
    </xdr:from>
    <xdr:to>
      <xdr:col>8</xdr:col>
      <xdr:colOff>2451100</xdr:colOff>
      <xdr:row>12</xdr:row>
      <xdr:rowOff>623187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73C392E-E154-F345-A6C8-E9DD23FEA4C5}"/>
            </a:ext>
          </a:extLst>
        </xdr:cNvPr>
        <xdr:cNvSpPr txBox="1"/>
      </xdr:nvSpPr>
      <xdr:spPr>
        <a:xfrm>
          <a:off x="16624300" y="7175500"/>
          <a:ext cx="12192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14</xdr:row>
      <xdr:rowOff>266700</xdr:rowOff>
    </xdr:from>
    <xdr:to>
      <xdr:col>7</xdr:col>
      <xdr:colOff>1181100</xdr:colOff>
      <xdr:row>14</xdr:row>
      <xdr:rowOff>635887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A0B7F77-C945-4341-88D2-7B64683A002F}"/>
            </a:ext>
          </a:extLst>
        </xdr:cNvPr>
        <xdr:cNvSpPr txBox="1"/>
      </xdr:nvSpPr>
      <xdr:spPr>
        <a:xfrm>
          <a:off x="11671300" y="8458200"/>
          <a:ext cx="24257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1181101</xdr:colOff>
      <xdr:row>14</xdr:row>
      <xdr:rowOff>266703</xdr:rowOff>
    </xdr:from>
    <xdr:to>
      <xdr:col>8</xdr:col>
      <xdr:colOff>0</xdr:colOff>
      <xdr:row>14</xdr:row>
      <xdr:rowOff>635889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F1A8F3E-0BC4-874B-BDB1-AD50E65D8381}"/>
            </a:ext>
          </a:extLst>
        </xdr:cNvPr>
        <xdr:cNvSpPr txBox="1"/>
      </xdr:nvSpPr>
      <xdr:spPr>
        <a:xfrm>
          <a:off x="14097001" y="8458203"/>
          <a:ext cx="12953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2421340</xdr:colOff>
      <xdr:row>30</xdr:row>
      <xdr:rowOff>81960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5E350D-1426-4A4F-9739-29405046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8353" y="13820588"/>
          <a:ext cx="2421340" cy="1157725"/>
        </a:xfrm>
        <a:prstGeom prst="rect">
          <a:avLst/>
        </a:prstGeom>
      </xdr:spPr>
    </xdr:pic>
    <xdr:clientData/>
  </xdr:twoCellAnchor>
  <xdr:twoCellAnchor editAs="oneCell">
    <xdr:from>
      <xdr:col>7</xdr:col>
      <xdr:colOff>2151529</xdr:colOff>
      <xdr:row>1</xdr:row>
      <xdr:rowOff>627530</xdr:rowOff>
    </xdr:from>
    <xdr:to>
      <xdr:col>8</xdr:col>
      <xdr:colOff>2123632</xdr:colOff>
      <xdr:row>3</xdr:row>
      <xdr:rowOff>588134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4FF111-45CE-1E43-B757-C5687CB8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90588" y="821765"/>
          <a:ext cx="2452338" cy="1170840"/>
        </a:xfrm>
        <a:prstGeom prst="rect">
          <a:avLst/>
        </a:prstGeom>
      </xdr:spPr>
    </xdr:pic>
    <xdr:clientData/>
  </xdr:twoCellAnchor>
  <xdr:twoCellAnchor>
    <xdr:from>
      <xdr:col>8</xdr:col>
      <xdr:colOff>1</xdr:colOff>
      <xdr:row>6</xdr:row>
      <xdr:rowOff>241300</xdr:rowOff>
    </xdr:from>
    <xdr:to>
      <xdr:col>9</xdr:col>
      <xdr:colOff>12701</xdr:colOff>
      <xdr:row>6</xdr:row>
      <xdr:rowOff>610486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4D0E80-0491-B246-A9AC-77EDBF2036E4}"/>
            </a:ext>
          </a:extLst>
        </xdr:cNvPr>
        <xdr:cNvSpPr txBox="1"/>
      </xdr:nvSpPr>
      <xdr:spPr>
        <a:xfrm>
          <a:off x="15392401" y="3352800"/>
          <a:ext cx="24892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8</xdr:row>
      <xdr:rowOff>304211</xdr:rowOff>
    </xdr:from>
    <xdr:to>
      <xdr:col>4</xdr:col>
      <xdr:colOff>1295400</xdr:colOff>
      <xdr:row>8</xdr:row>
      <xdr:rowOff>658629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799F93-E64F-D342-8A69-E0C28ABB7E71}"/>
            </a:ext>
          </a:extLst>
        </xdr:cNvPr>
        <xdr:cNvSpPr txBox="1"/>
      </xdr:nvSpPr>
      <xdr:spPr>
        <a:xfrm>
          <a:off x="533400" y="4685711"/>
          <a:ext cx="62484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12701</xdr:colOff>
      <xdr:row>10</xdr:row>
      <xdr:rowOff>268179</xdr:rowOff>
    </xdr:from>
    <xdr:to>
      <xdr:col>2</xdr:col>
      <xdr:colOff>1333500</xdr:colOff>
      <xdr:row>10</xdr:row>
      <xdr:rowOff>637365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AA51852-0CBE-EF48-B2A5-A358A04B461A}"/>
            </a:ext>
          </a:extLst>
        </xdr:cNvPr>
        <xdr:cNvSpPr txBox="1"/>
      </xdr:nvSpPr>
      <xdr:spPr>
        <a:xfrm>
          <a:off x="546101" y="5919679"/>
          <a:ext cx="13207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12700</xdr:colOff>
      <xdr:row>12</xdr:row>
      <xdr:rowOff>306277</xdr:rowOff>
    </xdr:from>
    <xdr:to>
      <xdr:col>5</xdr:col>
      <xdr:colOff>1244600</xdr:colOff>
      <xdr:row>12</xdr:row>
      <xdr:rowOff>660695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FB3C4EA-2C05-E147-81D6-021A0B6067FE}"/>
            </a:ext>
          </a:extLst>
        </xdr:cNvPr>
        <xdr:cNvSpPr txBox="1"/>
      </xdr:nvSpPr>
      <xdr:spPr>
        <a:xfrm>
          <a:off x="546100" y="7227777"/>
          <a:ext cx="86614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293579</xdr:rowOff>
    </xdr:from>
    <xdr:to>
      <xdr:col>3</xdr:col>
      <xdr:colOff>1244599</xdr:colOff>
      <xdr:row>14</xdr:row>
      <xdr:rowOff>662765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D054E79-6952-CB45-9C87-9F7280AA3A52}"/>
            </a:ext>
          </a:extLst>
        </xdr:cNvPr>
        <xdr:cNvSpPr txBox="1"/>
      </xdr:nvSpPr>
      <xdr:spPr>
        <a:xfrm>
          <a:off x="533400" y="8485079"/>
          <a:ext cx="37210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1193799</xdr:colOff>
      <xdr:row>16</xdr:row>
      <xdr:rowOff>279400</xdr:rowOff>
    </xdr:from>
    <xdr:to>
      <xdr:col>3</xdr:col>
      <xdr:colOff>25400</xdr:colOff>
      <xdr:row>16</xdr:row>
      <xdr:rowOff>633818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7A0CE19-2D78-4145-9576-48D99DB13577}"/>
            </a:ext>
          </a:extLst>
        </xdr:cNvPr>
        <xdr:cNvSpPr txBox="1"/>
      </xdr:nvSpPr>
      <xdr:spPr>
        <a:xfrm>
          <a:off x="1727199" y="9740900"/>
          <a:ext cx="1308101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1282700</xdr:colOff>
      <xdr:row>8</xdr:row>
      <xdr:rowOff>306276</xdr:rowOff>
    </xdr:from>
    <xdr:to>
      <xdr:col>5</xdr:col>
      <xdr:colOff>1270000</xdr:colOff>
      <xdr:row>8</xdr:row>
      <xdr:rowOff>675463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8EFCB7-32D9-3347-AADA-614E186535AC}"/>
            </a:ext>
          </a:extLst>
        </xdr:cNvPr>
        <xdr:cNvSpPr txBox="1"/>
      </xdr:nvSpPr>
      <xdr:spPr>
        <a:xfrm>
          <a:off x="6769100" y="4687776"/>
          <a:ext cx="24638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8</xdr:row>
      <xdr:rowOff>304211</xdr:rowOff>
    </xdr:from>
    <xdr:to>
      <xdr:col>9</xdr:col>
      <xdr:colOff>0</xdr:colOff>
      <xdr:row>8</xdr:row>
      <xdr:rowOff>658629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336F607-7276-AF4E-A525-2E8AB3300D61}"/>
            </a:ext>
          </a:extLst>
        </xdr:cNvPr>
        <xdr:cNvSpPr txBox="1"/>
      </xdr:nvSpPr>
      <xdr:spPr>
        <a:xfrm>
          <a:off x="9232900" y="4685711"/>
          <a:ext cx="86360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1333500</xdr:colOff>
      <xdr:row>10</xdr:row>
      <xdr:rowOff>268176</xdr:rowOff>
    </xdr:from>
    <xdr:to>
      <xdr:col>3</xdr:col>
      <xdr:colOff>1320800</xdr:colOff>
      <xdr:row>10</xdr:row>
      <xdr:rowOff>637363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CC14DC1-CCFF-4D40-98A5-8D1EE8BC8EFF}"/>
            </a:ext>
          </a:extLst>
        </xdr:cNvPr>
        <xdr:cNvSpPr txBox="1"/>
      </xdr:nvSpPr>
      <xdr:spPr>
        <a:xfrm>
          <a:off x="1866900" y="5919676"/>
          <a:ext cx="24638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1320800</xdr:colOff>
      <xdr:row>10</xdr:row>
      <xdr:rowOff>266111</xdr:rowOff>
    </xdr:from>
    <xdr:to>
      <xdr:col>7</xdr:col>
      <xdr:colOff>1219200</xdr:colOff>
      <xdr:row>10</xdr:row>
      <xdr:rowOff>620529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BABFB-1D76-634C-A7C1-0689F735B0B5}"/>
            </a:ext>
          </a:extLst>
        </xdr:cNvPr>
        <xdr:cNvSpPr txBox="1"/>
      </xdr:nvSpPr>
      <xdr:spPr>
        <a:xfrm>
          <a:off x="4330700" y="5917611"/>
          <a:ext cx="98044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1219200</xdr:colOff>
      <xdr:row>10</xdr:row>
      <xdr:rowOff>255476</xdr:rowOff>
    </xdr:from>
    <xdr:to>
      <xdr:col>8</xdr:col>
      <xdr:colOff>1206500</xdr:colOff>
      <xdr:row>10</xdr:row>
      <xdr:rowOff>624663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242BB06-E318-584D-9DA5-AD3AB5E56179}"/>
            </a:ext>
          </a:extLst>
        </xdr:cNvPr>
        <xdr:cNvSpPr txBox="1"/>
      </xdr:nvSpPr>
      <xdr:spPr>
        <a:xfrm>
          <a:off x="14135100" y="5906976"/>
          <a:ext cx="24638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1206501</xdr:colOff>
      <xdr:row>10</xdr:row>
      <xdr:rowOff>255479</xdr:rowOff>
    </xdr:from>
    <xdr:to>
      <xdr:col>9</xdr:col>
      <xdr:colOff>0</xdr:colOff>
      <xdr:row>10</xdr:row>
      <xdr:rowOff>624665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DEFC4A3-F39F-9941-9C73-F2E10616244F}"/>
            </a:ext>
          </a:extLst>
        </xdr:cNvPr>
        <xdr:cNvSpPr txBox="1"/>
      </xdr:nvSpPr>
      <xdr:spPr>
        <a:xfrm>
          <a:off x="16598901" y="5906979"/>
          <a:ext cx="12699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1257300</xdr:colOff>
      <xdr:row>12</xdr:row>
      <xdr:rowOff>306276</xdr:rowOff>
    </xdr:from>
    <xdr:to>
      <xdr:col>6</xdr:col>
      <xdr:colOff>1244600</xdr:colOff>
      <xdr:row>12</xdr:row>
      <xdr:rowOff>675463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1F753C2B-BBB3-BF44-A4D5-224BCA462F40}"/>
            </a:ext>
          </a:extLst>
        </xdr:cNvPr>
        <xdr:cNvSpPr txBox="1"/>
      </xdr:nvSpPr>
      <xdr:spPr>
        <a:xfrm>
          <a:off x="9220200" y="7227776"/>
          <a:ext cx="24638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12</xdr:row>
      <xdr:rowOff>306277</xdr:rowOff>
    </xdr:from>
    <xdr:to>
      <xdr:col>9</xdr:col>
      <xdr:colOff>0</xdr:colOff>
      <xdr:row>12</xdr:row>
      <xdr:rowOff>660695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E398B5B-AE44-1248-9CF9-B0C24F3C338D}"/>
            </a:ext>
          </a:extLst>
        </xdr:cNvPr>
        <xdr:cNvSpPr txBox="1"/>
      </xdr:nvSpPr>
      <xdr:spPr>
        <a:xfrm>
          <a:off x="11684000" y="7227777"/>
          <a:ext cx="61849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14</xdr:row>
      <xdr:rowOff>280876</xdr:rowOff>
    </xdr:from>
    <xdr:to>
      <xdr:col>4</xdr:col>
      <xdr:colOff>1244600</xdr:colOff>
      <xdr:row>14</xdr:row>
      <xdr:rowOff>650063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3185C10-E589-D643-B729-B6589019E095}"/>
            </a:ext>
          </a:extLst>
        </xdr:cNvPr>
        <xdr:cNvSpPr txBox="1"/>
      </xdr:nvSpPr>
      <xdr:spPr>
        <a:xfrm>
          <a:off x="4267200" y="8472376"/>
          <a:ext cx="24638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1257300</xdr:colOff>
      <xdr:row>14</xdr:row>
      <xdr:rowOff>280877</xdr:rowOff>
    </xdr:from>
    <xdr:to>
      <xdr:col>8</xdr:col>
      <xdr:colOff>1231900</xdr:colOff>
      <xdr:row>14</xdr:row>
      <xdr:rowOff>635295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D2E4A63-34D6-6D4D-9C55-45903C0E6B2F}"/>
            </a:ext>
          </a:extLst>
        </xdr:cNvPr>
        <xdr:cNvSpPr txBox="1"/>
      </xdr:nvSpPr>
      <xdr:spPr>
        <a:xfrm>
          <a:off x="6743700" y="8472377"/>
          <a:ext cx="98806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1219200</xdr:colOff>
      <xdr:row>14</xdr:row>
      <xdr:rowOff>268176</xdr:rowOff>
    </xdr:from>
    <xdr:to>
      <xdr:col>9</xdr:col>
      <xdr:colOff>12700</xdr:colOff>
      <xdr:row>14</xdr:row>
      <xdr:rowOff>637363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237D502-27D7-4042-A884-275E35E5CB17}"/>
            </a:ext>
          </a:extLst>
        </xdr:cNvPr>
        <xdr:cNvSpPr txBox="1"/>
      </xdr:nvSpPr>
      <xdr:spPr>
        <a:xfrm>
          <a:off x="16611600" y="8459676"/>
          <a:ext cx="12700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268176</xdr:rowOff>
    </xdr:from>
    <xdr:to>
      <xdr:col>2</xdr:col>
      <xdr:colOff>1193800</xdr:colOff>
      <xdr:row>16</xdr:row>
      <xdr:rowOff>637363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2244B64-9570-3C48-BA5D-A2F42174638E}"/>
            </a:ext>
          </a:extLst>
        </xdr:cNvPr>
        <xdr:cNvSpPr txBox="1"/>
      </xdr:nvSpPr>
      <xdr:spPr>
        <a:xfrm>
          <a:off x="558800" y="9729676"/>
          <a:ext cx="11684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2151530</xdr:colOff>
      <xdr:row>1</xdr:row>
      <xdr:rowOff>627530</xdr:rowOff>
    </xdr:from>
    <xdr:to>
      <xdr:col>8</xdr:col>
      <xdr:colOff>2123633</xdr:colOff>
      <xdr:row>3</xdr:row>
      <xdr:rowOff>588134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EC338-A778-FD46-A437-C5E09E48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0589" y="821765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298061</xdr:rowOff>
    </xdr:from>
    <xdr:to>
      <xdr:col>4</xdr:col>
      <xdr:colOff>1168400</xdr:colOff>
      <xdr:row>8</xdr:row>
      <xdr:rowOff>667247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FEF5660-280C-3749-A128-23D504FB1629}"/>
            </a:ext>
          </a:extLst>
        </xdr:cNvPr>
        <xdr:cNvSpPr txBox="1"/>
      </xdr:nvSpPr>
      <xdr:spPr>
        <a:xfrm>
          <a:off x="533400" y="4679561"/>
          <a:ext cx="61214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10</xdr:row>
      <xdr:rowOff>344377</xdr:rowOff>
    </xdr:from>
    <xdr:to>
      <xdr:col>2</xdr:col>
      <xdr:colOff>1282700</xdr:colOff>
      <xdr:row>10</xdr:row>
      <xdr:rowOff>698795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B64AD0-0ED0-8A4C-AD91-FD64F1288784}"/>
            </a:ext>
          </a:extLst>
        </xdr:cNvPr>
        <xdr:cNvSpPr txBox="1"/>
      </xdr:nvSpPr>
      <xdr:spPr>
        <a:xfrm>
          <a:off x="533400" y="5995877"/>
          <a:ext cx="12827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331679</xdr:rowOff>
    </xdr:from>
    <xdr:to>
      <xdr:col>5</xdr:col>
      <xdr:colOff>1219199</xdr:colOff>
      <xdr:row>12</xdr:row>
      <xdr:rowOff>700865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CE457AD5-39F5-C548-8D9B-0ACF76CDDC21}"/>
            </a:ext>
          </a:extLst>
        </xdr:cNvPr>
        <xdr:cNvSpPr txBox="1"/>
      </xdr:nvSpPr>
      <xdr:spPr>
        <a:xfrm>
          <a:off x="546100" y="7253179"/>
          <a:ext cx="86359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1</xdr:col>
      <xdr:colOff>254000</xdr:colOff>
      <xdr:row>14</xdr:row>
      <xdr:rowOff>233326</xdr:rowOff>
    </xdr:from>
    <xdr:to>
      <xdr:col>3</xdr:col>
      <xdr:colOff>1244600</xdr:colOff>
      <xdr:row>14</xdr:row>
      <xdr:rowOff>587744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E2BF3B3-8656-3448-A6AF-C230653F936F}"/>
            </a:ext>
          </a:extLst>
        </xdr:cNvPr>
        <xdr:cNvSpPr txBox="1"/>
      </xdr:nvSpPr>
      <xdr:spPr>
        <a:xfrm>
          <a:off x="520700" y="8424826"/>
          <a:ext cx="37338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13097</xdr:colOff>
      <xdr:row>6</xdr:row>
      <xdr:rowOff>283867</xdr:rowOff>
    </xdr:from>
    <xdr:to>
      <xdr:col>6</xdr:col>
      <xdr:colOff>1244600</xdr:colOff>
      <xdr:row>6</xdr:row>
      <xdr:rowOff>653053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3E20ED-3478-7A4C-A97A-67180A71FA96}"/>
            </a:ext>
          </a:extLst>
        </xdr:cNvPr>
        <xdr:cNvSpPr txBox="1"/>
      </xdr:nvSpPr>
      <xdr:spPr>
        <a:xfrm>
          <a:off x="3022997" y="3395367"/>
          <a:ext cx="8661003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1253564</xdr:colOff>
      <xdr:row>6</xdr:row>
      <xdr:rowOff>283864</xdr:rowOff>
    </xdr:from>
    <xdr:to>
      <xdr:col>7</xdr:col>
      <xdr:colOff>1244600</xdr:colOff>
      <xdr:row>6</xdr:row>
      <xdr:rowOff>653051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6F63F16-0549-7C41-A4BA-7BC727B5FE87}"/>
            </a:ext>
          </a:extLst>
        </xdr:cNvPr>
        <xdr:cNvSpPr txBox="1"/>
      </xdr:nvSpPr>
      <xdr:spPr>
        <a:xfrm>
          <a:off x="11692964" y="3395364"/>
          <a:ext cx="2467536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1242930</xdr:colOff>
      <xdr:row>6</xdr:row>
      <xdr:rowOff>283865</xdr:rowOff>
    </xdr:from>
    <xdr:to>
      <xdr:col>9</xdr:col>
      <xdr:colOff>12699</xdr:colOff>
      <xdr:row>6</xdr:row>
      <xdr:rowOff>638284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12DD129-5F37-DE44-B90E-3D6719938F0B}"/>
            </a:ext>
          </a:extLst>
        </xdr:cNvPr>
        <xdr:cNvSpPr txBox="1"/>
      </xdr:nvSpPr>
      <xdr:spPr>
        <a:xfrm>
          <a:off x="14158830" y="3395365"/>
          <a:ext cx="3722769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1164664</xdr:colOff>
      <xdr:row>8</xdr:row>
      <xdr:rowOff>296564</xdr:rowOff>
    </xdr:from>
    <xdr:to>
      <xdr:col>5</xdr:col>
      <xdr:colOff>1155700</xdr:colOff>
      <xdr:row>8</xdr:row>
      <xdr:rowOff>665751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8A43E4-5398-EE4D-891B-E0A75F5065BF}"/>
            </a:ext>
          </a:extLst>
        </xdr:cNvPr>
        <xdr:cNvSpPr txBox="1"/>
      </xdr:nvSpPr>
      <xdr:spPr>
        <a:xfrm>
          <a:off x="6651064" y="4678064"/>
          <a:ext cx="2467536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1143000</xdr:colOff>
      <xdr:row>8</xdr:row>
      <xdr:rowOff>298061</xdr:rowOff>
    </xdr:from>
    <xdr:to>
      <xdr:col>9</xdr:col>
      <xdr:colOff>12700</xdr:colOff>
      <xdr:row>8</xdr:row>
      <xdr:rowOff>667247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9FEE820-FA43-7A45-976A-CCB3D7950A95}"/>
            </a:ext>
          </a:extLst>
        </xdr:cNvPr>
        <xdr:cNvSpPr txBox="1"/>
      </xdr:nvSpPr>
      <xdr:spPr>
        <a:xfrm>
          <a:off x="9105900" y="4679561"/>
          <a:ext cx="87757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1278964</xdr:colOff>
      <xdr:row>10</xdr:row>
      <xdr:rowOff>334664</xdr:rowOff>
    </xdr:from>
    <xdr:to>
      <xdr:col>3</xdr:col>
      <xdr:colOff>1270000</xdr:colOff>
      <xdr:row>10</xdr:row>
      <xdr:rowOff>703851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01AD680-7FCD-F246-9D60-4C0B4136A62E}"/>
            </a:ext>
          </a:extLst>
        </xdr:cNvPr>
        <xdr:cNvSpPr txBox="1"/>
      </xdr:nvSpPr>
      <xdr:spPr>
        <a:xfrm>
          <a:off x="1812364" y="5986164"/>
          <a:ext cx="2467536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10</xdr:row>
      <xdr:rowOff>336161</xdr:rowOff>
    </xdr:from>
    <xdr:to>
      <xdr:col>7</xdr:col>
      <xdr:colOff>1231900</xdr:colOff>
      <xdr:row>10</xdr:row>
      <xdr:rowOff>705347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F561582-40DA-644A-8FB0-EE50C2E86126}"/>
            </a:ext>
          </a:extLst>
        </xdr:cNvPr>
        <xdr:cNvSpPr txBox="1"/>
      </xdr:nvSpPr>
      <xdr:spPr>
        <a:xfrm>
          <a:off x="4267200" y="5987661"/>
          <a:ext cx="98806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1228164</xdr:colOff>
      <xdr:row>10</xdr:row>
      <xdr:rowOff>334664</xdr:rowOff>
    </xdr:from>
    <xdr:to>
      <xdr:col>8</xdr:col>
      <xdr:colOff>1219200</xdr:colOff>
      <xdr:row>10</xdr:row>
      <xdr:rowOff>703851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5E89BE1-5B42-D343-8914-C464AB611CB8}"/>
            </a:ext>
          </a:extLst>
        </xdr:cNvPr>
        <xdr:cNvSpPr txBox="1"/>
      </xdr:nvSpPr>
      <xdr:spPr>
        <a:xfrm>
          <a:off x="14144064" y="5986164"/>
          <a:ext cx="2467536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1219200</xdr:colOff>
      <xdr:row>10</xdr:row>
      <xdr:rowOff>331677</xdr:rowOff>
    </xdr:from>
    <xdr:to>
      <xdr:col>9</xdr:col>
      <xdr:colOff>25400</xdr:colOff>
      <xdr:row>10</xdr:row>
      <xdr:rowOff>686095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911E5D5-4BF5-324C-9016-D14D7ADAF05A}"/>
            </a:ext>
          </a:extLst>
        </xdr:cNvPr>
        <xdr:cNvSpPr txBox="1"/>
      </xdr:nvSpPr>
      <xdr:spPr>
        <a:xfrm>
          <a:off x="16611600" y="5983177"/>
          <a:ext cx="12827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12</xdr:row>
      <xdr:rowOff>330200</xdr:rowOff>
    </xdr:from>
    <xdr:to>
      <xdr:col>6</xdr:col>
      <xdr:colOff>1210236</xdr:colOff>
      <xdr:row>12</xdr:row>
      <xdr:rowOff>699387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BE8C9116-AC46-3741-8CC0-36FC4BEC8A82}"/>
            </a:ext>
          </a:extLst>
        </xdr:cNvPr>
        <xdr:cNvSpPr txBox="1"/>
      </xdr:nvSpPr>
      <xdr:spPr>
        <a:xfrm>
          <a:off x="9182100" y="7251700"/>
          <a:ext cx="2467536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1193800</xdr:colOff>
      <xdr:row>12</xdr:row>
      <xdr:rowOff>323461</xdr:rowOff>
    </xdr:from>
    <xdr:to>
      <xdr:col>9</xdr:col>
      <xdr:colOff>12700</xdr:colOff>
      <xdr:row>12</xdr:row>
      <xdr:rowOff>692647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6EDF570-6F25-3143-AA9B-893051D491C1}"/>
            </a:ext>
          </a:extLst>
        </xdr:cNvPr>
        <xdr:cNvSpPr txBox="1"/>
      </xdr:nvSpPr>
      <xdr:spPr>
        <a:xfrm>
          <a:off x="11633200" y="7244961"/>
          <a:ext cx="62484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1244600</xdr:colOff>
      <xdr:row>14</xdr:row>
      <xdr:rowOff>241300</xdr:rowOff>
    </xdr:from>
    <xdr:to>
      <xdr:col>4</xdr:col>
      <xdr:colOff>1235636</xdr:colOff>
      <xdr:row>14</xdr:row>
      <xdr:rowOff>610487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D24EE41-D647-284F-9650-192911672F58}"/>
            </a:ext>
          </a:extLst>
        </xdr:cNvPr>
        <xdr:cNvSpPr txBox="1"/>
      </xdr:nvSpPr>
      <xdr:spPr>
        <a:xfrm>
          <a:off x="4254500" y="8432800"/>
          <a:ext cx="2467536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14</xdr:row>
      <xdr:rowOff>246026</xdr:rowOff>
    </xdr:from>
    <xdr:to>
      <xdr:col>6</xdr:col>
      <xdr:colOff>25400</xdr:colOff>
      <xdr:row>14</xdr:row>
      <xdr:rowOff>600444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BC85F16-02BA-DA41-9A66-AF06D8CA8D39}"/>
            </a:ext>
          </a:extLst>
        </xdr:cNvPr>
        <xdr:cNvSpPr txBox="1"/>
      </xdr:nvSpPr>
      <xdr:spPr>
        <a:xfrm>
          <a:off x="6731000" y="8437526"/>
          <a:ext cx="37338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3C4A97-9E32-4D4A-B479-40915110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6</xdr:row>
      <xdr:rowOff>308933</xdr:rowOff>
    </xdr:from>
    <xdr:to>
      <xdr:col>8</xdr:col>
      <xdr:colOff>1219200</xdr:colOff>
      <xdr:row>6</xdr:row>
      <xdr:rowOff>678119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BA6C88-1376-B844-97F1-7DB73BAF2BC1}"/>
            </a:ext>
          </a:extLst>
        </xdr:cNvPr>
        <xdr:cNvSpPr txBox="1"/>
      </xdr:nvSpPr>
      <xdr:spPr>
        <a:xfrm>
          <a:off x="10452100" y="3420433"/>
          <a:ext cx="61595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8</xdr:col>
      <xdr:colOff>1193799</xdr:colOff>
      <xdr:row>6</xdr:row>
      <xdr:rowOff>304800</xdr:rowOff>
    </xdr:from>
    <xdr:to>
      <xdr:col>9</xdr:col>
      <xdr:colOff>12700</xdr:colOff>
      <xdr:row>6</xdr:row>
      <xdr:rowOff>673987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1023937-A1F1-7948-BC96-49E22CFE0837}"/>
            </a:ext>
          </a:extLst>
        </xdr:cNvPr>
        <xdr:cNvSpPr txBox="1"/>
      </xdr:nvSpPr>
      <xdr:spPr>
        <a:xfrm>
          <a:off x="16586199" y="3416300"/>
          <a:ext cx="129540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1299533</xdr:colOff>
      <xdr:row>8</xdr:row>
      <xdr:rowOff>344379</xdr:rowOff>
    </xdr:from>
    <xdr:to>
      <xdr:col>6</xdr:col>
      <xdr:colOff>1231900</xdr:colOff>
      <xdr:row>8</xdr:row>
      <xdr:rowOff>713565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B1AE7B5-C6BB-394D-ADA2-AA0C756538D8}"/>
            </a:ext>
          </a:extLst>
        </xdr:cNvPr>
        <xdr:cNvSpPr txBox="1"/>
      </xdr:nvSpPr>
      <xdr:spPr>
        <a:xfrm>
          <a:off x="1832933" y="4725879"/>
          <a:ext cx="983836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8</xdr:row>
      <xdr:rowOff>344376</xdr:rowOff>
    </xdr:from>
    <xdr:to>
      <xdr:col>2</xdr:col>
      <xdr:colOff>1329069</xdr:colOff>
      <xdr:row>8</xdr:row>
      <xdr:rowOff>713563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8061569-3B21-9246-90DD-74560E9656EE}"/>
            </a:ext>
          </a:extLst>
        </xdr:cNvPr>
        <xdr:cNvSpPr txBox="1"/>
      </xdr:nvSpPr>
      <xdr:spPr>
        <a:xfrm>
          <a:off x="533400" y="47258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326359</xdr:rowOff>
    </xdr:from>
    <xdr:to>
      <xdr:col>4</xdr:col>
      <xdr:colOff>1231900</xdr:colOff>
      <xdr:row>10</xdr:row>
      <xdr:rowOff>680777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5523362-193F-3E4D-BC21-5CEC0CC438E3}"/>
            </a:ext>
          </a:extLst>
        </xdr:cNvPr>
        <xdr:cNvSpPr txBox="1"/>
      </xdr:nvSpPr>
      <xdr:spPr>
        <a:xfrm>
          <a:off x="533400" y="5977859"/>
          <a:ext cx="61849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12</xdr:row>
      <xdr:rowOff>268179</xdr:rowOff>
    </xdr:from>
    <xdr:to>
      <xdr:col>2</xdr:col>
      <xdr:colOff>1244600</xdr:colOff>
      <xdr:row>12</xdr:row>
      <xdr:rowOff>637365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D2E3AFE-99C1-0F45-8C30-0C5351CB5A47}"/>
            </a:ext>
          </a:extLst>
        </xdr:cNvPr>
        <xdr:cNvSpPr txBox="1"/>
      </xdr:nvSpPr>
      <xdr:spPr>
        <a:xfrm>
          <a:off x="533401" y="7189679"/>
          <a:ext cx="12445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14</xdr:row>
      <xdr:rowOff>300959</xdr:rowOff>
    </xdr:from>
    <xdr:to>
      <xdr:col>5</xdr:col>
      <xdr:colOff>1219200</xdr:colOff>
      <xdr:row>14</xdr:row>
      <xdr:rowOff>655377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F3E0C50E-4072-F94C-963C-52DFFEA9EDFF}"/>
            </a:ext>
          </a:extLst>
        </xdr:cNvPr>
        <xdr:cNvSpPr txBox="1"/>
      </xdr:nvSpPr>
      <xdr:spPr>
        <a:xfrm>
          <a:off x="533400" y="8492459"/>
          <a:ext cx="86487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1210633</xdr:colOff>
      <xdr:row>8</xdr:row>
      <xdr:rowOff>342900</xdr:rowOff>
    </xdr:from>
    <xdr:to>
      <xdr:col>7</xdr:col>
      <xdr:colOff>1244601</xdr:colOff>
      <xdr:row>8</xdr:row>
      <xdr:rowOff>712087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F9CB7B0-E012-D047-AC93-3F2FF5C8B41A}"/>
            </a:ext>
          </a:extLst>
        </xdr:cNvPr>
        <xdr:cNvSpPr txBox="1"/>
      </xdr:nvSpPr>
      <xdr:spPr>
        <a:xfrm>
          <a:off x="11650033" y="4724400"/>
          <a:ext cx="25104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8</xdr:row>
      <xdr:rowOff>347033</xdr:rowOff>
    </xdr:from>
    <xdr:to>
      <xdr:col>9</xdr:col>
      <xdr:colOff>12700</xdr:colOff>
      <xdr:row>8</xdr:row>
      <xdr:rowOff>716219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480D5D2-3461-A34D-BF0E-51BB8DBE1281}"/>
            </a:ext>
          </a:extLst>
        </xdr:cNvPr>
        <xdr:cNvSpPr txBox="1"/>
      </xdr:nvSpPr>
      <xdr:spPr>
        <a:xfrm>
          <a:off x="14147800" y="4728533"/>
          <a:ext cx="37338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1223333</xdr:colOff>
      <xdr:row>10</xdr:row>
      <xdr:rowOff>317500</xdr:rowOff>
    </xdr:from>
    <xdr:to>
      <xdr:col>5</xdr:col>
      <xdr:colOff>1257301</xdr:colOff>
      <xdr:row>10</xdr:row>
      <xdr:rowOff>686687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40113AF-CC64-4E44-8C1F-B838C12801D9}"/>
            </a:ext>
          </a:extLst>
        </xdr:cNvPr>
        <xdr:cNvSpPr txBox="1"/>
      </xdr:nvSpPr>
      <xdr:spPr>
        <a:xfrm>
          <a:off x="6709733" y="5969000"/>
          <a:ext cx="25104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10</xdr:row>
      <xdr:rowOff>326359</xdr:rowOff>
    </xdr:from>
    <xdr:to>
      <xdr:col>9</xdr:col>
      <xdr:colOff>25400</xdr:colOff>
      <xdr:row>10</xdr:row>
      <xdr:rowOff>680777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19E3A6C-6892-1E43-B8E7-71722FE2C9B4}"/>
            </a:ext>
          </a:extLst>
        </xdr:cNvPr>
        <xdr:cNvSpPr txBox="1"/>
      </xdr:nvSpPr>
      <xdr:spPr>
        <a:xfrm>
          <a:off x="9232900" y="5977859"/>
          <a:ext cx="86614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1223333</xdr:colOff>
      <xdr:row>12</xdr:row>
      <xdr:rowOff>266700</xdr:rowOff>
    </xdr:from>
    <xdr:to>
      <xdr:col>3</xdr:col>
      <xdr:colOff>1257301</xdr:colOff>
      <xdr:row>12</xdr:row>
      <xdr:rowOff>635887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9F346D61-4F95-CE4E-BC95-AD282566526D}"/>
            </a:ext>
          </a:extLst>
        </xdr:cNvPr>
        <xdr:cNvSpPr txBox="1"/>
      </xdr:nvSpPr>
      <xdr:spPr>
        <a:xfrm>
          <a:off x="1756733" y="7188200"/>
          <a:ext cx="25104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12</xdr:row>
      <xdr:rowOff>275559</xdr:rowOff>
    </xdr:from>
    <xdr:to>
      <xdr:col>7</xdr:col>
      <xdr:colOff>1231900</xdr:colOff>
      <xdr:row>12</xdr:row>
      <xdr:rowOff>629977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7CB2236-F757-5C46-AE8E-0419F233C2C0}"/>
            </a:ext>
          </a:extLst>
        </xdr:cNvPr>
        <xdr:cNvSpPr txBox="1"/>
      </xdr:nvSpPr>
      <xdr:spPr>
        <a:xfrm>
          <a:off x="4267200" y="7197059"/>
          <a:ext cx="98806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1223333</xdr:colOff>
      <xdr:row>12</xdr:row>
      <xdr:rowOff>266700</xdr:rowOff>
    </xdr:from>
    <xdr:to>
      <xdr:col>8</xdr:col>
      <xdr:colOff>1257301</xdr:colOff>
      <xdr:row>12</xdr:row>
      <xdr:rowOff>635887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C51E538-1FAA-A64D-B287-8F40D61A1DC6}"/>
            </a:ext>
          </a:extLst>
        </xdr:cNvPr>
        <xdr:cNvSpPr txBox="1"/>
      </xdr:nvSpPr>
      <xdr:spPr>
        <a:xfrm>
          <a:off x="14139233" y="7188200"/>
          <a:ext cx="25104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1257301</xdr:colOff>
      <xdr:row>12</xdr:row>
      <xdr:rowOff>268179</xdr:rowOff>
    </xdr:from>
    <xdr:to>
      <xdr:col>9</xdr:col>
      <xdr:colOff>25400</xdr:colOff>
      <xdr:row>12</xdr:row>
      <xdr:rowOff>637365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3F3BA9F5-D180-9646-9C1E-E29705D67D0D}"/>
            </a:ext>
          </a:extLst>
        </xdr:cNvPr>
        <xdr:cNvSpPr txBox="1"/>
      </xdr:nvSpPr>
      <xdr:spPr>
        <a:xfrm>
          <a:off x="16649701" y="7189679"/>
          <a:ext cx="12445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1210633</xdr:colOff>
      <xdr:row>14</xdr:row>
      <xdr:rowOff>292100</xdr:rowOff>
    </xdr:from>
    <xdr:to>
      <xdr:col>6</xdr:col>
      <xdr:colOff>1244601</xdr:colOff>
      <xdr:row>14</xdr:row>
      <xdr:rowOff>661287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9316464-8098-DA4B-BF8A-27DE6ED56473}"/>
            </a:ext>
          </a:extLst>
        </xdr:cNvPr>
        <xdr:cNvSpPr txBox="1"/>
      </xdr:nvSpPr>
      <xdr:spPr>
        <a:xfrm>
          <a:off x="9173533" y="8483600"/>
          <a:ext cx="25104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14</xdr:row>
      <xdr:rowOff>300959</xdr:rowOff>
    </xdr:from>
    <xdr:to>
      <xdr:col>8</xdr:col>
      <xdr:colOff>12700</xdr:colOff>
      <xdr:row>14</xdr:row>
      <xdr:rowOff>655377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D893920-A322-D14C-9C7F-CAC34720674C}"/>
            </a:ext>
          </a:extLst>
        </xdr:cNvPr>
        <xdr:cNvSpPr txBox="1"/>
      </xdr:nvSpPr>
      <xdr:spPr>
        <a:xfrm>
          <a:off x="11671300" y="8492459"/>
          <a:ext cx="37338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2184400</xdr:colOff>
      <xdr:row>1</xdr:row>
      <xdr:rowOff>643466</xdr:rowOff>
    </xdr:from>
    <xdr:to>
      <xdr:col>8</xdr:col>
      <xdr:colOff>2164471</xdr:colOff>
      <xdr:row>3</xdr:row>
      <xdr:rowOff>612040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499E5-1978-AF47-B001-3FEF50CFA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9733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16</xdr:row>
      <xdr:rowOff>283536</xdr:rowOff>
    </xdr:from>
    <xdr:to>
      <xdr:col>4</xdr:col>
      <xdr:colOff>12699</xdr:colOff>
      <xdr:row>16</xdr:row>
      <xdr:rowOff>652722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6FFF744-2F3B-584A-8F74-12F7295FDD20}"/>
            </a:ext>
          </a:extLst>
        </xdr:cNvPr>
        <xdr:cNvSpPr txBox="1"/>
      </xdr:nvSpPr>
      <xdr:spPr>
        <a:xfrm>
          <a:off x="546100" y="9745036"/>
          <a:ext cx="49529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8</xdr:col>
      <xdr:colOff>0</xdr:colOff>
      <xdr:row>6</xdr:row>
      <xdr:rowOff>204677</xdr:rowOff>
    </xdr:from>
    <xdr:to>
      <xdr:col>9</xdr:col>
      <xdr:colOff>0</xdr:colOff>
      <xdr:row>6</xdr:row>
      <xdr:rowOff>559096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CC33917-D6BD-A446-B2FE-A5F06FBD78A5}"/>
            </a:ext>
          </a:extLst>
        </xdr:cNvPr>
        <xdr:cNvSpPr txBox="1"/>
      </xdr:nvSpPr>
      <xdr:spPr>
        <a:xfrm>
          <a:off x="15392400" y="3316177"/>
          <a:ext cx="2476500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8</xdr:row>
      <xdr:rowOff>237459</xdr:rowOff>
    </xdr:from>
    <xdr:to>
      <xdr:col>3</xdr:col>
      <xdr:colOff>1257300</xdr:colOff>
      <xdr:row>8</xdr:row>
      <xdr:rowOff>591877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D9229DE-FC62-024F-AC90-171B91CA113F}"/>
            </a:ext>
          </a:extLst>
        </xdr:cNvPr>
        <xdr:cNvSpPr txBox="1"/>
      </xdr:nvSpPr>
      <xdr:spPr>
        <a:xfrm>
          <a:off x="533400" y="4618959"/>
          <a:ext cx="37338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1261433</xdr:colOff>
      <xdr:row>8</xdr:row>
      <xdr:rowOff>228600</xdr:rowOff>
    </xdr:from>
    <xdr:to>
      <xdr:col>4</xdr:col>
      <xdr:colOff>1244601</xdr:colOff>
      <xdr:row>8</xdr:row>
      <xdr:rowOff>597787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8B7DAE9-7A2E-4C4F-A273-C86A76547D48}"/>
            </a:ext>
          </a:extLst>
        </xdr:cNvPr>
        <xdr:cNvSpPr txBox="1"/>
      </xdr:nvSpPr>
      <xdr:spPr>
        <a:xfrm>
          <a:off x="4271333" y="4610100"/>
          <a:ext cx="24596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8</xdr:row>
      <xdr:rowOff>224759</xdr:rowOff>
    </xdr:from>
    <xdr:to>
      <xdr:col>8</xdr:col>
      <xdr:colOff>1219200</xdr:colOff>
      <xdr:row>8</xdr:row>
      <xdr:rowOff>579177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A6542F9-DE72-1546-930C-D5EFD4C19A26}"/>
            </a:ext>
          </a:extLst>
        </xdr:cNvPr>
        <xdr:cNvSpPr txBox="1"/>
      </xdr:nvSpPr>
      <xdr:spPr>
        <a:xfrm>
          <a:off x="6731000" y="4606259"/>
          <a:ext cx="98806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1206499</xdr:colOff>
      <xdr:row>8</xdr:row>
      <xdr:rowOff>215900</xdr:rowOff>
    </xdr:from>
    <xdr:to>
      <xdr:col>9</xdr:col>
      <xdr:colOff>0</xdr:colOff>
      <xdr:row>8</xdr:row>
      <xdr:rowOff>585087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04132F0-AB9C-1C45-899C-527B6C5BD26B}"/>
            </a:ext>
          </a:extLst>
        </xdr:cNvPr>
        <xdr:cNvSpPr txBox="1"/>
      </xdr:nvSpPr>
      <xdr:spPr>
        <a:xfrm>
          <a:off x="16598899" y="4597400"/>
          <a:ext cx="127000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10</xdr:row>
      <xdr:rowOff>279400</xdr:rowOff>
    </xdr:from>
    <xdr:to>
      <xdr:col>2</xdr:col>
      <xdr:colOff>1295400</xdr:colOff>
      <xdr:row>10</xdr:row>
      <xdr:rowOff>648587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15F36DB-D408-F64B-8E4D-E0D06E2A5588}"/>
            </a:ext>
          </a:extLst>
        </xdr:cNvPr>
        <xdr:cNvSpPr txBox="1"/>
      </xdr:nvSpPr>
      <xdr:spPr>
        <a:xfrm>
          <a:off x="558799" y="5930900"/>
          <a:ext cx="1270001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1308100</xdr:colOff>
      <xdr:row>10</xdr:row>
      <xdr:rowOff>288259</xdr:rowOff>
    </xdr:from>
    <xdr:to>
      <xdr:col>6</xdr:col>
      <xdr:colOff>1282700</xdr:colOff>
      <xdr:row>10</xdr:row>
      <xdr:rowOff>642677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7F6B13C-E07D-334A-B73D-BFF02AB5B990}"/>
            </a:ext>
          </a:extLst>
        </xdr:cNvPr>
        <xdr:cNvSpPr txBox="1"/>
      </xdr:nvSpPr>
      <xdr:spPr>
        <a:xfrm>
          <a:off x="1841500" y="5939759"/>
          <a:ext cx="98806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1286833</xdr:colOff>
      <xdr:row>10</xdr:row>
      <xdr:rowOff>279400</xdr:rowOff>
    </xdr:from>
    <xdr:to>
      <xdr:col>7</xdr:col>
      <xdr:colOff>1270001</xdr:colOff>
      <xdr:row>10</xdr:row>
      <xdr:rowOff>648587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2F49EE5-3B64-184A-8734-B9BDAB7E82D3}"/>
            </a:ext>
          </a:extLst>
        </xdr:cNvPr>
        <xdr:cNvSpPr txBox="1"/>
      </xdr:nvSpPr>
      <xdr:spPr>
        <a:xfrm>
          <a:off x="11726233" y="5930900"/>
          <a:ext cx="24596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10</xdr:row>
      <xdr:rowOff>288259</xdr:rowOff>
    </xdr:from>
    <xdr:to>
      <xdr:col>9</xdr:col>
      <xdr:colOff>12700</xdr:colOff>
      <xdr:row>10</xdr:row>
      <xdr:rowOff>642677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BECE50E-A022-5E4A-853B-DCB8B8AAA85D}"/>
            </a:ext>
          </a:extLst>
        </xdr:cNvPr>
        <xdr:cNvSpPr txBox="1"/>
      </xdr:nvSpPr>
      <xdr:spPr>
        <a:xfrm>
          <a:off x="14185900" y="5939759"/>
          <a:ext cx="36957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275559</xdr:rowOff>
    </xdr:from>
    <xdr:to>
      <xdr:col>4</xdr:col>
      <xdr:colOff>1257300</xdr:colOff>
      <xdr:row>12</xdr:row>
      <xdr:rowOff>629977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5C31DA3-A26A-7241-A822-E79FFA87A782}"/>
            </a:ext>
          </a:extLst>
        </xdr:cNvPr>
        <xdr:cNvSpPr txBox="1"/>
      </xdr:nvSpPr>
      <xdr:spPr>
        <a:xfrm>
          <a:off x="558800" y="7197059"/>
          <a:ext cx="61849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1261433</xdr:colOff>
      <xdr:row>12</xdr:row>
      <xdr:rowOff>279400</xdr:rowOff>
    </xdr:from>
    <xdr:to>
      <xdr:col>5</xdr:col>
      <xdr:colOff>1244601</xdr:colOff>
      <xdr:row>12</xdr:row>
      <xdr:rowOff>648587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206B64A-35BF-464E-8379-E90A0231A97F}"/>
            </a:ext>
          </a:extLst>
        </xdr:cNvPr>
        <xdr:cNvSpPr txBox="1"/>
      </xdr:nvSpPr>
      <xdr:spPr>
        <a:xfrm>
          <a:off x="6747833" y="7200900"/>
          <a:ext cx="24596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12</xdr:row>
      <xdr:rowOff>300959</xdr:rowOff>
    </xdr:from>
    <xdr:to>
      <xdr:col>9</xdr:col>
      <xdr:colOff>12700</xdr:colOff>
      <xdr:row>12</xdr:row>
      <xdr:rowOff>655377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432B96BB-EE79-604E-8E48-54E3C4E9AD9E}"/>
            </a:ext>
          </a:extLst>
        </xdr:cNvPr>
        <xdr:cNvSpPr txBox="1"/>
      </xdr:nvSpPr>
      <xdr:spPr>
        <a:xfrm>
          <a:off x="9207500" y="7222459"/>
          <a:ext cx="86741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14</xdr:row>
      <xdr:rowOff>292100</xdr:rowOff>
    </xdr:from>
    <xdr:to>
      <xdr:col>3</xdr:col>
      <xdr:colOff>1227768</xdr:colOff>
      <xdr:row>14</xdr:row>
      <xdr:rowOff>661287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7B017B36-12D3-F34C-8361-E11707209470}"/>
            </a:ext>
          </a:extLst>
        </xdr:cNvPr>
        <xdr:cNvSpPr txBox="1"/>
      </xdr:nvSpPr>
      <xdr:spPr>
        <a:xfrm>
          <a:off x="1778000" y="8483600"/>
          <a:ext cx="24596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296236</xdr:rowOff>
    </xdr:from>
    <xdr:to>
      <xdr:col>2</xdr:col>
      <xdr:colOff>1241454</xdr:colOff>
      <xdr:row>14</xdr:row>
      <xdr:rowOff>665422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C2DCCB6F-BF0E-0346-8151-F5CE34893362}"/>
            </a:ext>
          </a:extLst>
        </xdr:cNvPr>
        <xdr:cNvSpPr txBox="1"/>
      </xdr:nvSpPr>
      <xdr:spPr>
        <a:xfrm>
          <a:off x="533400" y="8487736"/>
          <a:ext cx="1241454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1219200</xdr:colOff>
      <xdr:row>14</xdr:row>
      <xdr:rowOff>300959</xdr:rowOff>
    </xdr:from>
    <xdr:to>
      <xdr:col>7</xdr:col>
      <xdr:colOff>1257300</xdr:colOff>
      <xdr:row>14</xdr:row>
      <xdr:rowOff>655377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9F8BA5E6-0010-1B4C-89CA-757145A18DCD}"/>
            </a:ext>
          </a:extLst>
        </xdr:cNvPr>
        <xdr:cNvSpPr txBox="1"/>
      </xdr:nvSpPr>
      <xdr:spPr>
        <a:xfrm>
          <a:off x="4229100" y="8492459"/>
          <a:ext cx="99441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1236033</xdr:colOff>
      <xdr:row>14</xdr:row>
      <xdr:rowOff>292100</xdr:rowOff>
    </xdr:from>
    <xdr:to>
      <xdr:col>8</xdr:col>
      <xdr:colOff>1219201</xdr:colOff>
      <xdr:row>14</xdr:row>
      <xdr:rowOff>661287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AFDAEEAF-2DD7-BE4E-8119-AB451C7E79E8}"/>
            </a:ext>
          </a:extLst>
        </xdr:cNvPr>
        <xdr:cNvSpPr txBox="1"/>
      </xdr:nvSpPr>
      <xdr:spPr>
        <a:xfrm>
          <a:off x="14151933" y="8483600"/>
          <a:ext cx="24596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1219200</xdr:colOff>
      <xdr:row>14</xdr:row>
      <xdr:rowOff>283536</xdr:rowOff>
    </xdr:from>
    <xdr:to>
      <xdr:col>8</xdr:col>
      <xdr:colOff>2460654</xdr:colOff>
      <xdr:row>14</xdr:row>
      <xdr:rowOff>652722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C2F4219A-A09B-494E-98C1-861F5CEF1871}"/>
            </a:ext>
          </a:extLst>
        </xdr:cNvPr>
        <xdr:cNvSpPr txBox="1"/>
      </xdr:nvSpPr>
      <xdr:spPr>
        <a:xfrm>
          <a:off x="16611600" y="8475036"/>
          <a:ext cx="1241454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2164773</xdr:colOff>
      <xdr:row>1</xdr:row>
      <xdr:rowOff>635000</xdr:rowOff>
    </xdr:from>
    <xdr:to>
      <xdr:col>8</xdr:col>
      <xdr:colOff>2134838</xdr:colOff>
      <xdr:row>3</xdr:row>
      <xdr:rowOff>593568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064C6B-0F22-8E4F-9BD1-9867940C7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682" y="822614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1299533</xdr:colOff>
      <xdr:row>10</xdr:row>
      <xdr:rowOff>318979</xdr:rowOff>
    </xdr:from>
    <xdr:to>
      <xdr:col>6</xdr:col>
      <xdr:colOff>1219200</xdr:colOff>
      <xdr:row>10</xdr:row>
      <xdr:rowOff>688165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E3A4EF0E-CCBC-434E-8217-54CA67C85029}"/>
            </a:ext>
          </a:extLst>
        </xdr:cNvPr>
        <xdr:cNvSpPr txBox="1"/>
      </xdr:nvSpPr>
      <xdr:spPr>
        <a:xfrm>
          <a:off x="1832933" y="5970479"/>
          <a:ext cx="982566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10</xdr:row>
      <xdr:rowOff>318976</xdr:rowOff>
    </xdr:from>
    <xdr:to>
      <xdr:col>2</xdr:col>
      <xdr:colOff>1329069</xdr:colOff>
      <xdr:row>10</xdr:row>
      <xdr:rowOff>688163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BCCB9E8-CCE2-DD45-841A-63FA8B7B787F}"/>
            </a:ext>
          </a:extLst>
        </xdr:cNvPr>
        <xdr:cNvSpPr txBox="1"/>
      </xdr:nvSpPr>
      <xdr:spPr>
        <a:xfrm>
          <a:off x="533400" y="59704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313659</xdr:rowOff>
    </xdr:from>
    <xdr:to>
      <xdr:col>4</xdr:col>
      <xdr:colOff>1244600</xdr:colOff>
      <xdr:row>12</xdr:row>
      <xdr:rowOff>668077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7251548-6185-814F-A857-4BA4304E42C6}"/>
            </a:ext>
          </a:extLst>
        </xdr:cNvPr>
        <xdr:cNvSpPr txBox="1"/>
      </xdr:nvSpPr>
      <xdr:spPr>
        <a:xfrm>
          <a:off x="533400" y="7235159"/>
          <a:ext cx="61976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14</xdr:row>
      <xdr:rowOff>357079</xdr:rowOff>
    </xdr:from>
    <xdr:to>
      <xdr:col>2</xdr:col>
      <xdr:colOff>1257300</xdr:colOff>
      <xdr:row>14</xdr:row>
      <xdr:rowOff>726265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B5BD953A-3121-3847-944B-ADA87C39CF3A}"/>
            </a:ext>
          </a:extLst>
        </xdr:cNvPr>
        <xdr:cNvSpPr txBox="1"/>
      </xdr:nvSpPr>
      <xdr:spPr>
        <a:xfrm>
          <a:off x="546101" y="8548579"/>
          <a:ext cx="12445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17254</xdr:colOff>
      <xdr:row>6</xdr:row>
      <xdr:rowOff>268177</xdr:rowOff>
    </xdr:from>
    <xdr:to>
      <xdr:col>5</xdr:col>
      <xdr:colOff>1231900</xdr:colOff>
      <xdr:row>6</xdr:row>
      <xdr:rowOff>622596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A43BC7-5FB0-AA41-97BF-7408A985B584}"/>
            </a:ext>
          </a:extLst>
        </xdr:cNvPr>
        <xdr:cNvSpPr txBox="1"/>
      </xdr:nvSpPr>
      <xdr:spPr>
        <a:xfrm>
          <a:off x="5503654" y="3379677"/>
          <a:ext cx="3691146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1236033</xdr:colOff>
      <xdr:row>6</xdr:row>
      <xdr:rowOff>266700</xdr:rowOff>
    </xdr:from>
    <xdr:to>
      <xdr:col>6</xdr:col>
      <xdr:colOff>1257301</xdr:colOff>
      <xdr:row>6</xdr:row>
      <xdr:rowOff>635887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863AC7C-6AC6-7C4B-AE7A-785D48F22506}"/>
            </a:ext>
          </a:extLst>
        </xdr:cNvPr>
        <xdr:cNvSpPr txBox="1"/>
      </xdr:nvSpPr>
      <xdr:spPr>
        <a:xfrm>
          <a:off x="9198933" y="3378200"/>
          <a:ext cx="24977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1261854</xdr:colOff>
      <xdr:row>6</xdr:row>
      <xdr:rowOff>280877</xdr:rowOff>
    </xdr:from>
    <xdr:to>
      <xdr:col>9</xdr:col>
      <xdr:colOff>0</xdr:colOff>
      <xdr:row>6</xdr:row>
      <xdr:rowOff>635296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4AB19F1-5B3C-C94C-9940-3D2D164C73D0}"/>
            </a:ext>
          </a:extLst>
        </xdr:cNvPr>
        <xdr:cNvSpPr txBox="1"/>
      </xdr:nvSpPr>
      <xdr:spPr>
        <a:xfrm>
          <a:off x="11701254" y="3392377"/>
          <a:ext cx="6167646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1</xdr:col>
      <xdr:colOff>258554</xdr:colOff>
      <xdr:row>8</xdr:row>
      <xdr:rowOff>306277</xdr:rowOff>
    </xdr:from>
    <xdr:to>
      <xdr:col>3</xdr:col>
      <xdr:colOff>1231900</xdr:colOff>
      <xdr:row>8</xdr:row>
      <xdr:rowOff>660696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2579BFA-DE85-B242-9ECB-30FD5A9E576B}"/>
            </a:ext>
          </a:extLst>
        </xdr:cNvPr>
        <xdr:cNvSpPr txBox="1"/>
      </xdr:nvSpPr>
      <xdr:spPr>
        <a:xfrm>
          <a:off x="525254" y="4687777"/>
          <a:ext cx="3716546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1210633</xdr:colOff>
      <xdr:row>8</xdr:row>
      <xdr:rowOff>292100</xdr:rowOff>
    </xdr:from>
    <xdr:to>
      <xdr:col>4</xdr:col>
      <xdr:colOff>1231901</xdr:colOff>
      <xdr:row>8</xdr:row>
      <xdr:rowOff>661287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ADACDEA-7EFB-1046-8208-884DC9ACCC39}"/>
            </a:ext>
          </a:extLst>
        </xdr:cNvPr>
        <xdr:cNvSpPr txBox="1"/>
      </xdr:nvSpPr>
      <xdr:spPr>
        <a:xfrm>
          <a:off x="4220533" y="4673600"/>
          <a:ext cx="24977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1223754</xdr:colOff>
      <xdr:row>8</xdr:row>
      <xdr:rowOff>293577</xdr:rowOff>
    </xdr:from>
    <xdr:to>
      <xdr:col>8</xdr:col>
      <xdr:colOff>1231900</xdr:colOff>
      <xdr:row>8</xdr:row>
      <xdr:rowOff>647996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EA698FB-988B-3241-B40B-0A040A1DCAB9}"/>
            </a:ext>
          </a:extLst>
        </xdr:cNvPr>
        <xdr:cNvSpPr txBox="1"/>
      </xdr:nvSpPr>
      <xdr:spPr>
        <a:xfrm>
          <a:off x="6710154" y="4675077"/>
          <a:ext cx="9914146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8</xdr:col>
      <xdr:colOff>1168400</xdr:colOff>
      <xdr:row>8</xdr:row>
      <xdr:rowOff>280876</xdr:rowOff>
    </xdr:from>
    <xdr:to>
      <xdr:col>9</xdr:col>
      <xdr:colOff>20969</xdr:colOff>
      <xdr:row>8</xdr:row>
      <xdr:rowOff>650063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FE85F9D-B2A0-664B-BD3E-AAC075084606}"/>
            </a:ext>
          </a:extLst>
        </xdr:cNvPr>
        <xdr:cNvSpPr txBox="1"/>
      </xdr:nvSpPr>
      <xdr:spPr>
        <a:xfrm>
          <a:off x="16560800" y="4662376"/>
          <a:ext cx="1329069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1223333</xdr:colOff>
      <xdr:row>10</xdr:row>
      <xdr:rowOff>317500</xdr:rowOff>
    </xdr:from>
    <xdr:to>
      <xdr:col>7</xdr:col>
      <xdr:colOff>1244601</xdr:colOff>
      <xdr:row>10</xdr:row>
      <xdr:rowOff>686687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F06A0E4-C899-BB49-816C-430C4A98177E}"/>
            </a:ext>
          </a:extLst>
        </xdr:cNvPr>
        <xdr:cNvSpPr txBox="1"/>
      </xdr:nvSpPr>
      <xdr:spPr>
        <a:xfrm>
          <a:off x="11662733" y="5969000"/>
          <a:ext cx="24977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1236454</xdr:colOff>
      <xdr:row>10</xdr:row>
      <xdr:rowOff>318977</xdr:rowOff>
    </xdr:from>
    <xdr:to>
      <xdr:col>9</xdr:col>
      <xdr:colOff>0</xdr:colOff>
      <xdr:row>10</xdr:row>
      <xdr:rowOff>673396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1DC6CD6-DA9C-A641-84A0-1AAE0C5FB859}"/>
            </a:ext>
          </a:extLst>
        </xdr:cNvPr>
        <xdr:cNvSpPr txBox="1"/>
      </xdr:nvSpPr>
      <xdr:spPr>
        <a:xfrm>
          <a:off x="14152354" y="5970477"/>
          <a:ext cx="3716546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1236033</xdr:colOff>
      <xdr:row>12</xdr:row>
      <xdr:rowOff>304800</xdr:rowOff>
    </xdr:from>
    <xdr:to>
      <xdr:col>5</xdr:col>
      <xdr:colOff>1257301</xdr:colOff>
      <xdr:row>12</xdr:row>
      <xdr:rowOff>673987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932D1CD-CEB5-6243-AD9C-6FF1E351A6D1}"/>
            </a:ext>
          </a:extLst>
        </xdr:cNvPr>
        <xdr:cNvSpPr txBox="1"/>
      </xdr:nvSpPr>
      <xdr:spPr>
        <a:xfrm>
          <a:off x="6722433" y="7226300"/>
          <a:ext cx="24977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12</xdr:row>
      <xdr:rowOff>306279</xdr:rowOff>
    </xdr:from>
    <xdr:to>
      <xdr:col>9</xdr:col>
      <xdr:colOff>0</xdr:colOff>
      <xdr:row>12</xdr:row>
      <xdr:rowOff>675465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CB4B88B-68DB-424C-BF84-EDF0216CBB64}"/>
            </a:ext>
          </a:extLst>
        </xdr:cNvPr>
        <xdr:cNvSpPr txBox="1"/>
      </xdr:nvSpPr>
      <xdr:spPr>
        <a:xfrm>
          <a:off x="9207500" y="7227779"/>
          <a:ext cx="86614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1248733</xdr:colOff>
      <xdr:row>14</xdr:row>
      <xdr:rowOff>355600</xdr:rowOff>
    </xdr:from>
    <xdr:to>
      <xdr:col>3</xdr:col>
      <xdr:colOff>1270001</xdr:colOff>
      <xdr:row>14</xdr:row>
      <xdr:rowOff>724787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9262BE7-C387-6143-9312-965D6402C46F}"/>
            </a:ext>
          </a:extLst>
        </xdr:cNvPr>
        <xdr:cNvSpPr txBox="1"/>
      </xdr:nvSpPr>
      <xdr:spPr>
        <a:xfrm>
          <a:off x="1782133" y="8547100"/>
          <a:ext cx="249776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14</xdr:row>
      <xdr:rowOff>364459</xdr:rowOff>
    </xdr:from>
    <xdr:to>
      <xdr:col>7</xdr:col>
      <xdr:colOff>12700</xdr:colOff>
      <xdr:row>14</xdr:row>
      <xdr:rowOff>718877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57F6C3B-005D-7A46-9DE9-79353D611104}"/>
            </a:ext>
          </a:extLst>
        </xdr:cNvPr>
        <xdr:cNvSpPr txBox="1"/>
      </xdr:nvSpPr>
      <xdr:spPr>
        <a:xfrm>
          <a:off x="4292600" y="8555959"/>
          <a:ext cx="86360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C45E66A-521C-0D42-A891-F11EFBFE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1</xdr:col>
      <xdr:colOff>254000</xdr:colOff>
      <xdr:row>8</xdr:row>
      <xdr:rowOff>339059</xdr:rowOff>
    </xdr:from>
    <xdr:to>
      <xdr:col>5</xdr:col>
      <xdr:colOff>1231900</xdr:colOff>
      <xdr:row>8</xdr:row>
      <xdr:rowOff>693477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FA279EF-5AD2-DD4D-8218-27686949B1AF}"/>
            </a:ext>
          </a:extLst>
        </xdr:cNvPr>
        <xdr:cNvSpPr txBox="1"/>
      </xdr:nvSpPr>
      <xdr:spPr>
        <a:xfrm>
          <a:off x="520700" y="4720559"/>
          <a:ext cx="86741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0</xdr:colOff>
      <xdr:row>6</xdr:row>
      <xdr:rowOff>275559</xdr:rowOff>
    </xdr:from>
    <xdr:to>
      <xdr:col>7</xdr:col>
      <xdr:colOff>1244600</xdr:colOff>
      <xdr:row>6</xdr:row>
      <xdr:rowOff>629977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A5E232-4282-3847-A6FC-6B223BD2C6AC}"/>
            </a:ext>
          </a:extLst>
        </xdr:cNvPr>
        <xdr:cNvSpPr txBox="1"/>
      </xdr:nvSpPr>
      <xdr:spPr>
        <a:xfrm>
          <a:off x="12915900" y="3387059"/>
          <a:ext cx="12446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1237216</xdr:colOff>
      <xdr:row>6</xdr:row>
      <xdr:rowOff>271424</xdr:rowOff>
    </xdr:from>
    <xdr:to>
      <xdr:col>8</xdr:col>
      <xdr:colOff>1282700</xdr:colOff>
      <xdr:row>6</xdr:row>
      <xdr:rowOff>640611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22FD0C-52E6-6340-8ABD-8F2C59A82533}"/>
            </a:ext>
          </a:extLst>
        </xdr:cNvPr>
        <xdr:cNvSpPr txBox="1"/>
      </xdr:nvSpPr>
      <xdr:spPr>
        <a:xfrm>
          <a:off x="14153116" y="3382924"/>
          <a:ext cx="2521984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1282700</xdr:colOff>
      <xdr:row>6</xdr:row>
      <xdr:rowOff>275559</xdr:rowOff>
    </xdr:from>
    <xdr:to>
      <xdr:col>9</xdr:col>
      <xdr:colOff>0</xdr:colOff>
      <xdr:row>6</xdr:row>
      <xdr:rowOff>629977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1158D29-B427-8049-A886-E4F954E8E586}"/>
            </a:ext>
          </a:extLst>
        </xdr:cNvPr>
        <xdr:cNvSpPr txBox="1"/>
      </xdr:nvSpPr>
      <xdr:spPr>
        <a:xfrm>
          <a:off x="16675100" y="3387059"/>
          <a:ext cx="11938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1237216</xdr:colOff>
      <xdr:row>8</xdr:row>
      <xdr:rowOff>322224</xdr:rowOff>
    </xdr:from>
    <xdr:to>
      <xdr:col>6</xdr:col>
      <xdr:colOff>1282700</xdr:colOff>
      <xdr:row>8</xdr:row>
      <xdr:rowOff>691411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64DC93E-3A80-C44B-955B-93A3618E1B06}"/>
            </a:ext>
          </a:extLst>
        </xdr:cNvPr>
        <xdr:cNvSpPr txBox="1"/>
      </xdr:nvSpPr>
      <xdr:spPr>
        <a:xfrm>
          <a:off x="9200116" y="4703724"/>
          <a:ext cx="2521984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1295400</xdr:colOff>
      <xdr:row>8</xdr:row>
      <xdr:rowOff>326359</xdr:rowOff>
    </xdr:from>
    <xdr:to>
      <xdr:col>9</xdr:col>
      <xdr:colOff>25400</xdr:colOff>
      <xdr:row>8</xdr:row>
      <xdr:rowOff>680777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CF025AE-534C-ED43-BA32-DDE0285D695F}"/>
            </a:ext>
          </a:extLst>
        </xdr:cNvPr>
        <xdr:cNvSpPr txBox="1"/>
      </xdr:nvSpPr>
      <xdr:spPr>
        <a:xfrm>
          <a:off x="11734800" y="4707859"/>
          <a:ext cx="61595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254000</xdr:colOff>
      <xdr:row>10</xdr:row>
      <xdr:rowOff>275559</xdr:rowOff>
    </xdr:from>
    <xdr:to>
      <xdr:col>3</xdr:col>
      <xdr:colOff>1231900</xdr:colOff>
      <xdr:row>10</xdr:row>
      <xdr:rowOff>629977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A6D1B42-2CFF-894B-AC55-E7182FF59B90}"/>
            </a:ext>
          </a:extLst>
        </xdr:cNvPr>
        <xdr:cNvSpPr txBox="1"/>
      </xdr:nvSpPr>
      <xdr:spPr>
        <a:xfrm>
          <a:off x="520700" y="5927059"/>
          <a:ext cx="37211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1224516</xdr:colOff>
      <xdr:row>10</xdr:row>
      <xdr:rowOff>271424</xdr:rowOff>
    </xdr:from>
    <xdr:to>
      <xdr:col>4</xdr:col>
      <xdr:colOff>1270000</xdr:colOff>
      <xdr:row>10</xdr:row>
      <xdr:rowOff>640611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A1FC1881-4285-8D46-AE90-BD4B2EDE1D38}"/>
            </a:ext>
          </a:extLst>
        </xdr:cNvPr>
        <xdr:cNvSpPr txBox="1"/>
      </xdr:nvSpPr>
      <xdr:spPr>
        <a:xfrm>
          <a:off x="4234416" y="5922924"/>
          <a:ext cx="2521984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1270000</xdr:colOff>
      <xdr:row>10</xdr:row>
      <xdr:rowOff>275559</xdr:rowOff>
    </xdr:from>
    <xdr:to>
      <xdr:col>8</xdr:col>
      <xdr:colOff>1219200</xdr:colOff>
      <xdr:row>10</xdr:row>
      <xdr:rowOff>629977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0EE7CC3-5981-774A-9FA8-B2FE7BB0BF87}"/>
            </a:ext>
          </a:extLst>
        </xdr:cNvPr>
        <xdr:cNvSpPr txBox="1"/>
      </xdr:nvSpPr>
      <xdr:spPr>
        <a:xfrm>
          <a:off x="6756400" y="5927059"/>
          <a:ext cx="98552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1097516</xdr:colOff>
      <xdr:row>10</xdr:row>
      <xdr:rowOff>258724</xdr:rowOff>
    </xdr:from>
    <xdr:to>
      <xdr:col>9</xdr:col>
      <xdr:colOff>12700</xdr:colOff>
      <xdr:row>10</xdr:row>
      <xdr:rowOff>627911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6E4338E-87AB-874E-A84F-737C054A11C2}"/>
            </a:ext>
          </a:extLst>
        </xdr:cNvPr>
        <xdr:cNvSpPr txBox="1"/>
      </xdr:nvSpPr>
      <xdr:spPr>
        <a:xfrm>
          <a:off x="16489916" y="5910224"/>
          <a:ext cx="1391684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18016</xdr:colOff>
      <xdr:row>12</xdr:row>
      <xdr:rowOff>284124</xdr:rowOff>
    </xdr:from>
    <xdr:to>
      <xdr:col>2</xdr:col>
      <xdr:colOff>1295400</xdr:colOff>
      <xdr:row>12</xdr:row>
      <xdr:rowOff>653311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92655F3-5AD9-1047-A122-665FC3F093DD}"/>
            </a:ext>
          </a:extLst>
        </xdr:cNvPr>
        <xdr:cNvSpPr txBox="1"/>
      </xdr:nvSpPr>
      <xdr:spPr>
        <a:xfrm>
          <a:off x="551416" y="7205624"/>
          <a:ext cx="1277384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1295400</xdr:colOff>
      <xdr:row>12</xdr:row>
      <xdr:rowOff>288259</xdr:rowOff>
    </xdr:from>
    <xdr:to>
      <xdr:col>6</xdr:col>
      <xdr:colOff>1244600</xdr:colOff>
      <xdr:row>12</xdr:row>
      <xdr:rowOff>642677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9577FF8-583F-F94B-B64E-05CB0E3874F9}"/>
            </a:ext>
          </a:extLst>
        </xdr:cNvPr>
        <xdr:cNvSpPr txBox="1"/>
      </xdr:nvSpPr>
      <xdr:spPr>
        <a:xfrm>
          <a:off x="1828800" y="7209759"/>
          <a:ext cx="98552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1237216</xdr:colOff>
      <xdr:row>12</xdr:row>
      <xdr:rowOff>271424</xdr:rowOff>
    </xdr:from>
    <xdr:to>
      <xdr:col>7</xdr:col>
      <xdr:colOff>1282700</xdr:colOff>
      <xdr:row>12</xdr:row>
      <xdr:rowOff>640611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BB7F9A5-3C24-1443-924F-D4561D3A4E6D}"/>
            </a:ext>
          </a:extLst>
        </xdr:cNvPr>
        <xdr:cNvSpPr txBox="1"/>
      </xdr:nvSpPr>
      <xdr:spPr>
        <a:xfrm>
          <a:off x="11676616" y="7192924"/>
          <a:ext cx="2521984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12</xdr:row>
      <xdr:rowOff>275559</xdr:rowOff>
    </xdr:from>
    <xdr:to>
      <xdr:col>9</xdr:col>
      <xdr:colOff>12700</xdr:colOff>
      <xdr:row>12</xdr:row>
      <xdr:rowOff>629977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FFD5D19-8BEF-9543-943F-5184973DA20C}"/>
            </a:ext>
          </a:extLst>
        </xdr:cNvPr>
        <xdr:cNvSpPr txBox="1"/>
      </xdr:nvSpPr>
      <xdr:spPr>
        <a:xfrm>
          <a:off x="14160500" y="7197059"/>
          <a:ext cx="37211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262859</xdr:rowOff>
    </xdr:from>
    <xdr:to>
      <xdr:col>4</xdr:col>
      <xdr:colOff>1244600</xdr:colOff>
      <xdr:row>14</xdr:row>
      <xdr:rowOff>617277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398F957-99E6-8346-9211-B7310A8CB57C}"/>
            </a:ext>
          </a:extLst>
        </xdr:cNvPr>
        <xdr:cNvSpPr txBox="1"/>
      </xdr:nvSpPr>
      <xdr:spPr>
        <a:xfrm>
          <a:off x="533400" y="8454359"/>
          <a:ext cx="61976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1249916</xdr:colOff>
      <xdr:row>14</xdr:row>
      <xdr:rowOff>258724</xdr:rowOff>
    </xdr:from>
    <xdr:to>
      <xdr:col>5</xdr:col>
      <xdr:colOff>1295400</xdr:colOff>
      <xdr:row>14</xdr:row>
      <xdr:rowOff>627911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3703A148-A849-9F4D-9852-A1626CC963C2}"/>
            </a:ext>
          </a:extLst>
        </xdr:cNvPr>
        <xdr:cNvSpPr txBox="1"/>
      </xdr:nvSpPr>
      <xdr:spPr>
        <a:xfrm>
          <a:off x="6736316" y="8450224"/>
          <a:ext cx="2521984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14</xdr:row>
      <xdr:rowOff>275559</xdr:rowOff>
    </xdr:from>
    <xdr:to>
      <xdr:col>9</xdr:col>
      <xdr:colOff>12700</xdr:colOff>
      <xdr:row>14</xdr:row>
      <xdr:rowOff>629977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C5E4C5CE-46CE-D24A-8011-BD7C9EC1E1B4}"/>
            </a:ext>
          </a:extLst>
        </xdr:cNvPr>
        <xdr:cNvSpPr txBox="1"/>
      </xdr:nvSpPr>
      <xdr:spPr>
        <a:xfrm>
          <a:off x="9245600" y="8467059"/>
          <a:ext cx="86360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2126181</xdr:colOff>
      <xdr:row>1</xdr:row>
      <xdr:rowOff>642135</xdr:rowOff>
    </xdr:from>
    <xdr:to>
      <xdr:col>8</xdr:col>
      <xdr:colOff>2095598</xdr:colOff>
      <xdr:row>3</xdr:row>
      <xdr:rowOff>600054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26E8479-A966-1B48-AA5B-493CB0EE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3035" y="827641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14270</xdr:colOff>
      <xdr:row>8</xdr:row>
      <xdr:rowOff>285303</xdr:rowOff>
    </xdr:from>
    <xdr:to>
      <xdr:col>5</xdr:col>
      <xdr:colOff>1241461</xdr:colOff>
      <xdr:row>8</xdr:row>
      <xdr:rowOff>654489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815D46F-5F18-A843-917B-1F51AE68513B}"/>
            </a:ext>
          </a:extLst>
        </xdr:cNvPr>
        <xdr:cNvSpPr txBox="1"/>
      </xdr:nvSpPr>
      <xdr:spPr>
        <a:xfrm>
          <a:off x="556517" y="4666090"/>
          <a:ext cx="8675955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1342340</xdr:colOff>
      <xdr:row>12</xdr:row>
      <xdr:rowOff>342381</xdr:rowOff>
    </xdr:from>
    <xdr:to>
      <xdr:col>6</xdr:col>
      <xdr:colOff>1227191</xdr:colOff>
      <xdr:row>12</xdr:row>
      <xdr:rowOff>711567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70930-2D1E-7447-A9BE-306E548D8EAF}"/>
            </a:ext>
          </a:extLst>
        </xdr:cNvPr>
        <xdr:cNvSpPr txBox="1"/>
      </xdr:nvSpPr>
      <xdr:spPr>
        <a:xfrm>
          <a:off x="1884587" y="7263168"/>
          <a:ext cx="981653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14269</xdr:colOff>
      <xdr:row>12</xdr:row>
      <xdr:rowOff>342378</xdr:rowOff>
    </xdr:from>
    <xdr:to>
      <xdr:col>2</xdr:col>
      <xdr:colOff>1371877</xdr:colOff>
      <xdr:row>12</xdr:row>
      <xdr:rowOff>711565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A0B1391B-BDD3-2640-9B3A-251019687935}"/>
            </a:ext>
          </a:extLst>
        </xdr:cNvPr>
        <xdr:cNvSpPr txBox="1"/>
      </xdr:nvSpPr>
      <xdr:spPr>
        <a:xfrm>
          <a:off x="556516" y="7263165"/>
          <a:ext cx="135760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271122</xdr:colOff>
      <xdr:row>14</xdr:row>
      <xdr:rowOff>329198</xdr:rowOff>
    </xdr:from>
    <xdr:to>
      <xdr:col>4</xdr:col>
      <xdr:colOff>1255729</xdr:colOff>
      <xdr:row>14</xdr:row>
      <xdr:rowOff>683616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3F1A049-0DE2-0A4D-A25F-C4B0C7094278}"/>
            </a:ext>
          </a:extLst>
        </xdr:cNvPr>
        <xdr:cNvSpPr txBox="1"/>
      </xdr:nvSpPr>
      <xdr:spPr>
        <a:xfrm>
          <a:off x="542246" y="8519985"/>
          <a:ext cx="6221573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10698</xdr:colOff>
      <xdr:row>6</xdr:row>
      <xdr:rowOff>323546</xdr:rowOff>
    </xdr:from>
    <xdr:to>
      <xdr:col>2</xdr:col>
      <xdr:colOff>1241462</xdr:colOff>
      <xdr:row>6</xdr:row>
      <xdr:rowOff>692732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4A07AF-9974-DC41-8DF3-219E056DF67E}"/>
            </a:ext>
          </a:extLst>
        </xdr:cNvPr>
        <xdr:cNvSpPr txBox="1"/>
      </xdr:nvSpPr>
      <xdr:spPr>
        <a:xfrm>
          <a:off x="552945" y="3434333"/>
          <a:ext cx="1230764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1236895</xdr:colOff>
      <xdr:row>6</xdr:row>
      <xdr:rowOff>323543</xdr:rowOff>
    </xdr:from>
    <xdr:to>
      <xdr:col>3</xdr:col>
      <xdr:colOff>1227190</xdr:colOff>
      <xdr:row>6</xdr:row>
      <xdr:rowOff>692730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6938D29-0888-4442-8102-AAB48687AB0D}"/>
            </a:ext>
          </a:extLst>
        </xdr:cNvPr>
        <xdr:cNvSpPr txBox="1"/>
      </xdr:nvSpPr>
      <xdr:spPr>
        <a:xfrm>
          <a:off x="1779142" y="3434330"/>
          <a:ext cx="2473217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1237888</xdr:colOff>
      <xdr:row>6</xdr:row>
      <xdr:rowOff>323546</xdr:rowOff>
    </xdr:from>
    <xdr:to>
      <xdr:col>7</xdr:col>
      <xdr:colOff>1255730</xdr:colOff>
      <xdr:row>6</xdr:row>
      <xdr:rowOff>692732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AD21F81-6DF7-004D-80C8-B8CE64537AE6}"/>
            </a:ext>
          </a:extLst>
        </xdr:cNvPr>
        <xdr:cNvSpPr txBox="1"/>
      </xdr:nvSpPr>
      <xdr:spPr>
        <a:xfrm>
          <a:off x="4263057" y="3434333"/>
          <a:ext cx="9949527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1246598</xdr:colOff>
      <xdr:row>6</xdr:row>
      <xdr:rowOff>333246</xdr:rowOff>
    </xdr:from>
    <xdr:to>
      <xdr:col>8</xdr:col>
      <xdr:colOff>1236894</xdr:colOff>
      <xdr:row>6</xdr:row>
      <xdr:rowOff>702433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A7B28F8-77E7-B542-997D-8776A0F48932}"/>
            </a:ext>
          </a:extLst>
        </xdr:cNvPr>
        <xdr:cNvSpPr txBox="1"/>
      </xdr:nvSpPr>
      <xdr:spPr>
        <a:xfrm>
          <a:off x="14203452" y="3444033"/>
          <a:ext cx="2473217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1233322</xdr:colOff>
      <xdr:row>6</xdr:row>
      <xdr:rowOff>318980</xdr:rowOff>
    </xdr:from>
    <xdr:to>
      <xdr:col>8</xdr:col>
      <xdr:colOff>2464086</xdr:colOff>
      <xdr:row>6</xdr:row>
      <xdr:rowOff>688166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73B58D5-777D-2F4B-AE65-92573A60CA85}"/>
            </a:ext>
          </a:extLst>
        </xdr:cNvPr>
        <xdr:cNvSpPr txBox="1"/>
      </xdr:nvSpPr>
      <xdr:spPr>
        <a:xfrm>
          <a:off x="16673097" y="3429767"/>
          <a:ext cx="1230764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1227763</xdr:colOff>
      <xdr:row>8</xdr:row>
      <xdr:rowOff>285871</xdr:rowOff>
    </xdr:from>
    <xdr:to>
      <xdr:col>6</xdr:col>
      <xdr:colOff>1218058</xdr:colOff>
      <xdr:row>8</xdr:row>
      <xdr:rowOff>655058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7DCFF73-D55C-6146-AEFF-60FD300B8C85}"/>
            </a:ext>
          </a:extLst>
        </xdr:cNvPr>
        <xdr:cNvSpPr txBox="1"/>
      </xdr:nvSpPr>
      <xdr:spPr>
        <a:xfrm>
          <a:off x="9218774" y="4666658"/>
          <a:ext cx="2473217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1184382</xdr:colOff>
      <xdr:row>8</xdr:row>
      <xdr:rowOff>276171</xdr:rowOff>
    </xdr:from>
    <xdr:to>
      <xdr:col>9</xdr:col>
      <xdr:colOff>9702</xdr:colOff>
      <xdr:row>8</xdr:row>
      <xdr:rowOff>645357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AA9A4EF-7C2B-1748-ABC8-99B7C462CE46}"/>
            </a:ext>
          </a:extLst>
        </xdr:cNvPr>
        <xdr:cNvSpPr txBox="1"/>
      </xdr:nvSpPr>
      <xdr:spPr>
        <a:xfrm>
          <a:off x="11658315" y="4656958"/>
          <a:ext cx="6274084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9704</xdr:colOff>
      <xdr:row>10</xdr:row>
      <xdr:rowOff>342953</xdr:rowOff>
    </xdr:from>
    <xdr:to>
      <xdr:col>3</xdr:col>
      <xdr:colOff>1227191</xdr:colOff>
      <xdr:row>10</xdr:row>
      <xdr:rowOff>712139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85DCF0B-35AD-EC45-8960-3FA42C36B76E}"/>
            </a:ext>
          </a:extLst>
        </xdr:cNvPr>
        <xdr:cNvSpPr txBox="1"/>
      </xdr:nvSpPr>
      <xdr:spPr>
        <a:xfrm>
          <a:off x="551951" y="5993740"/>
          <a:ext cx="370040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1208926</xdr:colOff>
      <xdr:row>10</xdr:row>
      <xdr:rowOff>338384</xdr:rowOff>
    </xdr:from>
    <xdr:to>
      <xdr:col>4</xdr:col>
      <xdr:colOff>1199222</xdr:colOff>
      <xdr:row>10</xdr:row>
      <xdr:rowOff>707571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5875DE9-A23F-F241-9EC7-A2A37776970F}"/>
            </a:ext>
          </a:extLst>
        </xdr:cNvPr>
        <xdr:cNvSpPr txBox="1"/>
      </xdr:nvSpPr>
      <xdr:spPr>
        <a:xfrm>
          <a:off x="4234095" y="5989171"/>
          <a:ext cx="2473217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1194085</xdr:colOff>
      <xdr:row>10</xdr:row>
      <xdr:rowOff>337815</xdr:rowOff>
    </xdr:from>
    <xdr:to>
      <xdr:col>8</xdr:col>
      <xdr:colOff>1212922</xdr:colOff>
      <xdr:row>10</xdr:row>
      <xdr:rowOff>707001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9EC1037-EE2C-0D48-974D-FD282713AFA9}"/>
            </a:ext>
          </a:extLst>
        </xdr:cNvPr>
        <xdr:cNvSpPr txBox="1"/>
      </xdr:nvSpPr>
      <xdr:spPr>
        <a:xfrm>
          <a:off x="6702175" y="5988602"/>
          <a:ext cx="9950522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8</xdr:col>
      <xdr:colOff>1198652</xdr:colOff>
      <xdr:row>10</xdr:row>
      <xdr:rowOff>338384</xdr:rowOff>
    </xdr:from>
    <xdr:to>
      <xdr:col>9</xdr:col>
      <xdr:colOff>14840</xdr:colOff>
      <xdr:row>10</xdr:row>
      <xdr:rowOff>707571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2EA37DB-B217-8E4E-A5C7-CAD73DA7872F}"/>
            </a:ext>
          </a:extLst>
        </xdr:cNvPr>
        <xdr:cNvSpPr txBox="1"/>
      </xdr:nvSpPr>
      <xdr:spPr>
        <a:xfrm>
          <a:off x="16638427" y="5989171"/>
          <a:ext cx="129911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1218629</xdr:colOff>
      <xdr:row>12</xdr:row>
      <xdr:rowOff>333817</xdr:rowOff>
    </xdr:from>
    <xdr:to>
      <xdr:col>7</xdr:col>
      <xdr:colOff>1208925</xdr:colOff>
      <xdr:row>12</xdr:row>
      <xdr:rowOff>703004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9BCF39F-803B-6B40-8744-9249A166B92A}"/>
            </a:ext>
          </a:extLst>
        </xdr:cNvPr>
        <xdr:cNvSpPr txBox="1"/>
      </xdr:nvSpPr>
      <xdr:spPr>
        <a:xfrm>
          <a:off x="11692562" y="7254604"/>
          <a:ext cx="2473217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1203789</xdr:colOff>
      <xdr:row>12</xdr:row>
      <xdr:rowOff>338387</xdr:rowOff>
    </xdr:from>
    <xdr:to>
      <xdr:col>9</xdr:col>
      <xdr:colOff>28539</xdr:colOff>
      <xdr:row>12</xdr:row>
      <xdr:rowOff>707573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E5E4A1E-7725-4945-8C97-32D1A4BAF714}"/>
            </a:ext>
          </a:extLst>
        </xdr:cNvPr>
        <xdr:cNvSpPr txBox="1"/>
      </xdr:nvSpPr>
      <xdr:spPr>
        <a:xfrm>
          <a:off x="14160643" y="7259174"/>
          <a:ext cx="3790593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1251163</xdr:colOff>
      <xdr:row>14</xdr:row>
      <xdr:rowOff>323542</xdr:rowOff>
    </xdr:from>
    <xdr:to>
      <xdr:col>5</xdr:col>
      <xdr:colOff>0</xdr:colOff>
      <xdr:row>14</xdr:row>
      <xdr:rowOff>692729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56530A5-F1CB-3C44-A632-FE8753D7D2DC}"/>
            </a:ext>
          </a:extLst>
        </xdr:cNvPr>
        <xdr:cNvSpPr txBox="1"/>
      </xdr:nvSpPr>
      <xdr:spPr>
        <a:xfrm>
          <a:off x="6759253" y="8514329"/>
          <a:ext cx="123175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5349E6-D4C5-4640-BBE0-0061DD12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8</xdr:row>
      <xdr:rowOff>331679</xdr:rowOff>
    </xdr:from>
    <xdr:to>
      <xdr:col>2</xdr:col>
      <xdr:colOff>1282700</xdr:colOff>
      <xdr:row>8</xdr:row>
      <xdr:rowOff>700865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58CD609-6B65-A444-A474-49623B20A5FD}"/>
            </a:ext>
          </a:extLst>
        </xdr:cNvPr>
        <xdr:cNvSpPr txBox="1"/>
      </xdr:nvSpPr>
      <xdr:spPr>
        <a:xfrm>
          <a:off x="533401" y="4713179"/>
          <a:ext cx="12826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10</xdr:row>
      <xdr:rowOff>326359</xdr:rowOff>
    </xdr:from>
    <xdr:to>
      <xdr:col>5</xdr:col>
      <xdr:colOff>1257300</xdr:colOff>
      <xdr:row>10</xdr:row>
      <xdr:rowOff>680777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BAD289E-8148-5943-902E-08F44397E2AC}"/>
            </a:ext>
          </a:extLst>
        </xdr:cNvPr>
        <xdr:cNvSpPr txBox="1"/>
      </xdr:nvSpPr>
      <xdr:spPr>
        <a:xfrm>
          <a:off x="533400" y="5977859"/>
          <a:ext cx="86868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</xdr:colOff>
      <xdr:row>6</xdr:row>
      <xdr:rowOff>293576</xdr:rowOff>
    </xdr:from>
    <xdr:to>
      <xdr:col>5</xdr:col>
      <xdr:colOff>1370308</xdr:colOff>
      <xdr:row>6</xdr:row>
      <xdr:rowOff>662763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D901BB-CB21-E547-9B19-BD2DB52181AC}"/>
            </a:ext>
          </a:extLst>
        </xdr:cNvPr>
        <xdr:cNvSpPr txBox="1"/>
      </xdr:nvSpPr>
      <xdr:spPr>
        <a:xfrm>
          <a:off x="7975600" y="3405076"/>
          <a:ext cx="135760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1353471</xdr:colOff>
      <xdr:row>6</xdr:row>
      <xdr:rowOff>293579</xdr:rowOff>
    </xdr:from>
    <xdr:to>
      <xdr:col>9</xdr:col>
      <xdr:colOff>25400</xdr:colOff>
      <xdr:row>6</xdr:row>
      <xdr:rowOff>662765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44A26F-09A9-1948-A5B2-4CF3C4855AFF}"/>
            </a:ext>
          </a:extLst>
        </xdr:cNvPr>
        <xdr:cNvSpPr txBox="1"/>
      </xdr:nvSpPr>
      <xdr:spPr>
        <a:xfrm>
          <a:off x="9316371" y="3405079"/>
          <a:ext cx="857792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1282700</xdr:colOff>
      <xdr:row>8</xdr:row>
      <xdr:rowOff>331676</xdr:rowOff>
    </xdr:from>
    <xdr:to>
      <xdr:col>3</xdr:col>
      <xdr:colOff>1206500</xdr:colOff>
      <xdr:row>8</xdr:row>
      <xdr:rowOff>700863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CF66079-0C0A-464D-B64D-F0CDF59D2C16}"/>
            </a:ext>
          </a:extLst>
        </xdr:cNvPr>
        <xdr:cNvSpPr txBox="1"/>
      </xdr:nvSpPr>
      <xdr:spPr>
        <a:xfrm>
          <a:off x="1816100" y="4713176"/>
          <a:ext cx="24003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1213771</xdr:colOff>
      <xdr:row>8</xdr:row>
      <xdr:rowOff>331679</xdr:rowOff>
    </xdr:from>
    <xdr:to>
      <xdr:col>7</xdr:col>
      <xdr:colOff>1333500</xdr:colOff>
      <xdr:row>8</xdr:row>
      <xdr:rowOff>700865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4E2A72F-3CAB-2246-8965-6F5D5883A886}"/>
            </a:ext>
          </a:extLst>
        </xdr:cNvPr>
        <xdr:cNvSpPr txBox="1"/>
      </xdr:nvSpPr>
      <xdr:spPr>
        <a:xfrm>
          <a:off x="4223671" y="4713179"/>
          <a:ext cx="1002572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1333500</xdr:colOff>
      <xdr:row>8</xdr:row>
      <xdr:rowOff>331676</xdr:rowOff>
    </xdr:from>
    <xdr:to>
      <xdr:col>8</xdr:col>
      <xdr:colOff>1257300</xdr:colOff>
      <xdr:row>8</xdr:row>
      <xdr:rowOff>700863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BD77894-CE68-374B-B3D4-335913BCD5AC}"/>
            </a:ext>
          </a:extLst>
        </xdr:cNvPr>
        <xdr:cNvSpPr txBox="1"/>
      </xdr:nvSpPr>
      <xdr:spPr>
        <a:xfrm>
          <a:off x="14249400" y="4713176"/>
          <a:ext cx="24003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1270001</xdr:colOff>
      <xdr:row>8</xdr:row>
      <xdr:rowOff>331679</xdr:rowOff>
    </xdr:from>
    <xdr:to>
      <xdr:col>9</xdr:col>
      <xdr:colOff>25400</xdr:colOff>
      <xdr:row>8</xdr:row>
      <xdr:rowOff>700865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B648415-52D9-5C44-9951-878E1F4D2D80}"/>
            </a:ext>
          </a:extLst>
        </xdr:cNvPr>
        <xdr:cNvSpPr txBox="1"/>
      </xdr:nvSpPr>
      <xdr:spPr>
        <a:xfrm>
          <a:off x="16662401" y="4713179"/>
          <a:ext cx="1231899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1257300</xdr:colOff>
      <xdr:row>10</xdr:row>
      <xdr:rowOff>318976</xdr:rowOff>
    </xdr:from>
    <xdr:to>
      <xdr:col>6</xdr:col>
      <xdr:colOff>1181100</xdr:colOff>
      <xdr:row>10</xdr:row>
      <xdr:rowOff>688163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F199190-64F1-8649-A27D-4900095A4DA8}"/>
            </a:ext>
          </a:extLst>
        </xdr:cNvPr>
        <xdr:cNvSpPr txBox="1"/>
      </xdr:nvSpPr>
      <xdr:spPr>
        <a:xfrm>
          <a:off x="9220200" y="5970476"/>
          <a:ext cx="24003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1181100</xdr:colOff>
      <xdr:row>10</xdr:row>
      <xdr:rowOff>318979</xdr:rowOff>
    </xdr:from>
    <xdr:to>
      <xdr:col>9</xdr:col>
      <xdr:colOff>0</xdr:colOff>
      <xdr:row>10</xdr:row>
      <xdr:rowOff>688165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71958E9-A2DB-6441-9336-3A14315B2F45}"/>
            </a:ext>
          </a:extLst>
        </xdr:cNvPr>
        <xdr:cNvSpPr txBox="1"/>
      </xdr:nvSpPr>
      <xdr:spPr>
        <a:xfrm>
          <a:off x="11620500" y="5970479"/>
          <a:ext cx="6248400" cy="3691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1</xdr:col>
      <xdr:colOff>254000</xdr:colOff>
      <xdr:row>12</xdr:row>
      <xdr:rowOff>288259</xdr:rowOff>
    </xdr:from>
    <xdr:to>
      <xdr:col>3</xdr:col>
      <xdr:colOff>1231900</xdr:colOff>
      <xdr:row>12</xdr:row>
      <xdr:rowOff>642677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4AAEFE2-AD30-A647-80EB-9F20690E0B86}"/>
            </a:ext>
          </a:extLst>
        </xdr:cNvPr>
        <xdr:cNvSpPr txBox="1"/>
      </xdr:nvSpPr>
      <xdr:spPr>
        <a:xfrm>
          <a:off x="520700" y="7209759"/>
          <a:ext cx="37211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12</xdr:row>
      <xdr:rowOff>280876</xdr:rowOff>
    </xdr:from>
    <xdr:to>
      <xdr:col>4</xdr:col>
      <xdr:colOff>1155700</xdr:colOff>
      <xdr:row>12</xdr:row>
      <xdr:rowOff>650063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507514A-CE8D-B542-85F2-5B741C61916C}"/>
            </a:ext>
          </a:extLst>
        </xdr:cNvPr>
        <xdr:cNvSpPr txBox="1"/>
      </xdr:nvSpPr>
      <xdr:spPr>
        <a:xfrm>
          <a:off x="4241800" y="7202376"/>
          <a:ext cx="24003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12</xdr:row>
      <xdr:rowOff>288259</xdr:rowOff>
    </xdr:from>
    <xdr:to>
      <xdr:col>8</xdr:col>
      <xdr:colOff>1282700</xdr:colOff>
      <xdr:row>12</xdr:row>
      <xdr:rowOff>642677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4350C361-66C0-214C-9237-42DC9056AAEE}"/>
            </a:ext>
          </a:extLst>
        </xdr:cNvPr>
        <xdr:cNvSpPr txBox="1"/>
      </xdr:nvSpPr>
      <xdr:spPr>
        <a:xfrm>
          <a:off x="6642100" y="7209759"/>
          <a:ext cx="100330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1282700</xdr:colOff>
      <xdr:row>12</xdr:row>
      <xdr:rowOff>280876</xdr:rowOff>
    </xdr:from>
    <xdr:to>
      <xdr:col>9</xdr:col>
      <xdr:colOff>12700</xdr:colOff>
      <xdr:row>12</xdr:row>
      <xdr:rowOff>650063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66D0612-D60B-B34C-84D5-1652239918A1}"/>
            </a:ext>
          </a:extLst>
        </xdr:cNvPr>
        <xdr:cNvSpPr txBox="1"/>
      </xdr:nvSpPr>
      <xdr:spPr>
        <a:xfrm>
          <a:off x="16675100" y="7202376"/>
          <a:ext cx="12065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280876</xdr:rowOff>
    </xdr:from>
    <xdr:to>
      <xdr:col>2</xdr:col>
      <xdr:colOff>1231900</xdr:colOff>
      <xdr:row>14</xdr:row>
      <xdr:rowOff>650063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C225D4A-91D9-4F44-8588-43905B8418EC}"/>
            </a:ext>
          </a:extLst>
        </xdr:cNvPr>
        <xdr:cNvSpPr txBox="1"/>
      </xdr:nvSpPr>
      <xdr:spPr>
        <a:xfrm>
          <a:off x="558800" y="8472376"/>
          <a:ext cx="12065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14</xdr:row>
      <xdr:rowOff>288259</xdr:rowOff>
    </xdr:from>
    <xdr:to>
      <xdr:col>6</xdr:col>
      <xdr:colOff>1308100</xdr:colOff>
      <xdr:row>14</xdr:row>
      <xdr:rowOff>642677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294C13D-2069-6344-94DA-C43C1704F9A7}"/>
            </a:ext>
          </a:extLst>
        </xdr:cNvPr>
        <xdr:cNvSpPr txBox="1"/>
      </xdr:nvSpPr>
      <xdr:spPr>
        <a:xfrm>
          <a:off x="1765300" y="8479759"/>
          <a:ext cx="9982200" cy="3544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1308100</xdr:colOff>
      <xdr:row>14</xdr:row>
      <xdr:rowOff>280876</xdr:rowOff>
    </xdr:from>
    <xdr:to>
      <xdr:col>7</xdr:col>
      <xdr:colOff>12700</xdr:colOff>
      <xdr:row>14</xdr:row>
      <xdr:rowOff>650063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012750C-78E0-0E46-97AC-0372B48FB241}"/>
            </a:ext>
          </a:extLst>
        </xdr:cNvPr>
        <xdr:cNvSpPr txBox="1"/>
      </xdr:nvSpPr>
      <xdr:spPr>
        <a:xfrm>
          <a:off x="11747500" y="8472376"/>
          <a:ext cx="1181100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7</xdr:col>
      <xdr:colOff>2163703</xdr:colOff>
      <xdr:row>1</xdr:row>
      <xdr:rowOff>642839</xdr:rowOff>
    </xdr:from>
    <xdr:to>
      <xdr:col>8</xdr:col>
      <xdr:colOff>2138757</xdr:colOff>
      <xdr:row>3</xdr:row>
      <xdr:rowOff>606395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A80437-69D3-3940-8020-AF6CD1E0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3209" y="830987"/>
          <a:ext cx="2452338" cy="1170840"/>
        </a:xfrm>
        <a:prstGeom prst="rect">
          <a:avLst/>
        </a:prstGeom>
      </xdr:spPr>
    </xdr:pic>
    <xdr:clientData/>
  </xdr:twoCellAnchor>
  <xdr:oneCellAnchor>
    <xdr:from>
      <xdr:col>7</xdr:col>
      <xdr:colOff>723900</xdr:colOff>
      <xdr:row>10</xdr:row>
      <xdr:rowOff>203200</xdr:rowOff>
    </xdr:from>
    <xdr:ext cx="184731" cy="25257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6836A57-B273-3041-99F4-E4C3A222AE5A}"/>
            </a:ext>
          </a:extLst>
        </xdr:cNvPr>
        <xdr:cNvSpPr txBox="1"/>
      </xdr:nvSpPr>
      <xdr:spPr>
        <a:xfrm>
          <a:off x="8702488" y="5865906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723900</xdr:colOff>
      <xdr:row>8</xdr:row>
      <xdr:rowOff>203200</xdr:rowOff>
    </xdr:from>
    <xdr:ext cx="184731" cy="25257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BD882C7-156B-034E-B1F2-0EA2B5F0BC54}"/>
            </a:ext>
          </a:extLst>
        </xdr:cNvPr>
        <xdr:cNvSpPr txBox="1"/>
      </xdr:nvSpPr>
      <xdr:spPr>
        <a:xfrm>
          <a:off x="13662959" y="5865906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0</xdr:colOff>
      <xdr:row>10</xdr:row>
      <xdr:rowOff>283882</xdr:rowOff>
    </xdr:from>
    <xdr:to>
      <xdr:col>2</xdr:col>
      <xdr:colOff>1180353</xdr:colOff>
      <xdr:row>10</xdr:row>
      <xdr:rowOff>672559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5F2660D-7D15-0F4A-BD85-185E7122083C}"/>
            </a:ext>
          </a:extLst>
        </xdr:cNvPr>
        <xdr:cNvSpPr txBox="1"/>
      </xdr:nvSpPr>
      <xdr:spPr>
        <a:xfrm>
          <a:off x="537882" y="5946588"/>
          <a:ext cx="1180353" cy="38867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723900</xdr:colOff>
      <xdr:row>12</xdr:row>
      <xdr:rowOff>203200</xdr:rowOff>
    </xdr:from>
    <xdr:ext cx="184731" cy="25257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14849E7B-14A6-234B-88B1-2C0E29DC1AD3}"/>
            </a:ext>
          </a:extLst>
        </xdr:cNvPr>
        <xdr:cNvSpPr txBox="1"/>
      </xdr:nvSpPr>
      <xdr:spPr>
        <a:xfrm>
          <a:off x="1261782" y="4595906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268940</xdr:colOff>
      <xdr:row>14</xdr:row>
      <xdr:rowOff>313765</xdr:rowOff>
    </xdr:from>
    <xdr:to>
      <xdr:col>3</xdr:col>
      <xdr:colOff>1165410</xdr:colOff>
      <xdr:row>14</xdr:row>
      <xdr:rowOff>702442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11F97DB-3537-8441-A596-4F7A713A0A75}"/>
            </a:ext>
          </a:extLst>
        </xdr:cNvPr>
        <xdr:cNvSpPr txBox="1"/>
      </xdr:nvSpPr>
      <xdr:spPr>
        <a:xfrm>
          <a:off x="537881" y="8516471"/>
          <a:ext cx="3645647" cy="38867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723900</xdr:colOff>
      <xdr:row>16</xdr:row>
      <xdr:rowOff>203200</xdr:rowOff>
    </xdr:from>
    <xdr:ext cx="184731" cy="25257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10760F8-4A4F-F844-89DF-3AC6FF56FCBD}"/>
            </a:ext>
          </a:extLst>
        </xdr:cNvPr>
        <xdr:cNvSpPr txBox="1"/>
      </xdr:nvSpPr>
      <xdr:spPr>
        <a:xfrm>
          <a:off x="1261782" y="7135906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17929</xdr:colOff>
      <xdr:row>6</xdr:row>
      <xdr:rowOff>301047</xdr:rowOff>
    </xdr:from>
    <xdr:to>
      <xdr:col>7</xdr:col>
      <xdr:colOff>1375537</xdr:colOff>
      <xdr:row>6</xdr:row>
      <xdr:rowOff>670234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5587726-C91A-CC4F-9DAF-9F3AFFEE976C}"/>
            </a:ext>
          </a:extLst>
        </xdr:cNvPr>
        <xdr:cNvSpPr txBox="1"/>
      </xdr:nvSpPr>
      <xdr:spPr>
        <a:xfrm>
          <a:off x="12956988" y="3423753"/>
          <a:ext cx="1357608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1379792</xdr:colOff>
      <xdr:row>6</xdr:row>
      <xdr:rowOff>301048</xdr:rowOff>
    </xdr:from>
    <xdr:to>
      <xdr:col>9</xdr:col>
      <xdr:colOff>0</xdr:colOff>
      <xdr:row>6</xdr:row>
      <xdr:rowOff>672353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7679FB0-154A-B24E-9C14-CB19038B0592}"/>
            </a:ext>
          </a:extLst>
        </xdr:cNvPr>
        <xdr:cNvSpPr txBox="1"/>
      </xdr:nvSpPr>
      <xdr:spPr>
        <a:xfrm>
          <a:off x="14318851" y="3423754"/>
          <a:ext cx="3580678" cy="37130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8191</xdr:colOff>
      <xdr:row>8</xdr:row>
      <xdr:rowOff>259212</xdr:rowOff>
    </xdr:from>
    <xdr:to>
      <xdr:col>4</xdr:col>
      <xdr:colOff>1225175</xdr:colOff>
      <xdr:row>8</xdr:row>
      <xdr:rowOff>630517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1B75A7B-AA51-C940-B22E-A6D391EB4CFE}"/>
            </a:ext>
          </a:extLst>
        </xdr:cNvPr>
        <xdr:cNvSpPr txBox="1"/>
      </xdr:nvSpPr>
      <xdr:spPr>
        <a:xfrm>
          <a:off x="546073" y="4651918"/>
          <a:ext cx="6177455" cy="37130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1231152</xdr:colOff>
      <xdr:row>8</xdr:row>
      <xdr:rowOff>259211</xdr:rowOff>
    </xdr:from>
    <xdr:to>
      <xdr:col>5</xdr:col>
      <xdr:colOff>1255059</xdr:colOff>
      <xdr:row>8</xdr:row>
      <xdr:rowOff>628398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E090D27-860F-C948-A118-DAA3D49B9D51}"/>
            </a:ext>
          </a:extLst>
        </xdr:cNvPr>
        <xdr:cNvSpPr txBox="1"/>
      </xdr:nvSpPr>
      <xdr:spPr>
        <a:xfrm>
          <a:off x="6729505" y="4651917"/>
          <a:ext cx="2504142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1266238</xdr:colOff>
      <xdr:row>8</xdr:row>
      <xdr:rowOff>247259</xdr:rowOff>
    </xdr:from>
    <xdr:to>
      <xdr:col>9</xdr:col>
      <xdr:colOff>0</xdr:colOff>
      <xdr:row>8</xdr:row>
      <xdr:rowOff>618564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3EA1A67-60DB-274D-BD73-9D432CF54184}"/>
            </a:ext>
          </a:extLst>
        </xdr:cNvPr>
        <xdr:cNvSpPr txBox="1"/>
      </xdr:nvSpPr>
      <xdr:spPr>
        <a:xfrm>
          <a:off x="9244826" y="4639965"/>
          <a:ext cx="8654703" cy="37130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1189317</xdr:colOff>
      <xdr:row>10</xdr:row>
      <xdr:rowOff>292082</xdr:rowOff>
    </xdr:from>
    <xdr:to>
      <xdr:col>3</xdr:col>
      <xdr:colOff>1213223</xdr:colOff>
      <xdr:row>10</xdr:row>
      <xdr:rowOff>661269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EFDF4C0-F9CC-B64E-8C84-387A6AA1BDB4}"/>
            </a:ext>
          </a:extLst>
        </xdr:cNvPr>
        <xdr:cNvSpPr txBox="1"/>
      </xdr:nvSpPr>
      <xdr:spPr>
        <a:xfrm>
          <a:off x="1727199" y="5954788"/>
          <a:ext cx="2504142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1221414</xdr:colOff>
      <xdr:row>10</xdr:row>
      <xdr:rowOff>307024</xdr:rowOff>
    </xdr:from>
    <xdr:to>
      <xdr:col>7</xdr:col>
      <xdr:colOff>1299882</xdr:colOff>
      <xdr:row>10</xdr:row>
      <xdr:rowOff>678329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C1A2E6-1319-FB45-A633-3981D254C665}"/>
            </a:ext>
          </a:extLst>
        </xdr:cNvPr>
        <xdr:cNvSpPr txBox="1"/>
      </xdr:nvSpPr>
      <xdr:spPr>
        <a:xfrm>
          <a:off x="4239532" y="5969730"/>
          <a:ext cx="9999409" cy="37130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1296893</xdr:colOff>
      <xdr:row>10</xdr:row>
      <xdr:rowOff>310012</xdr:rowOff>
    </xdr:from>
    <xdr:to>
      <xdr:col>8</xdr:col>
      <xdr:colOff>1320800</xdr:colOff>
      <xdr:row>10</xdr:row>
      <xdr:rowOff>679199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19D95EB-0B8E-3C4A-AAED-28E4D3E6E326}"/>
            </a:ext>
          </a:extLst>
        </xdr:cNvPr>
        <xdr:cNvSpPr txBox="1"/>
      </xdr:nvSpPr>
      <xdr:spPr>
        <a:xfrm>
          <a:off x="14235952" y="5972718"/>
          <a:ext cx="2504142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1332753</xdr:colOff>
      <xdr:row>10</xdr:row>
      <xdr:rowOff>301811</xdr:rowOff>
    </xdr:from>
    <xdr:to>
      <xdr:col>9</xdr:col>
      <xdr:colOff>32871</xdr:colOff>
      <xdr:row>10</xdr:row>
      <xdr:rowOff>690488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EDB4A4C6-C746-3E43-846B-1B37062A41E6}"/>
            </a:ext>
          </a:extLst>
        </xdr:cNvPr>
        <xdr:cNvSpPr txBox="1"/>
      </xdr:nvSpPr>
      <xdr:spPr>
        <a:xfrm>
          <a:off x="16752047" y="5964517"/>
          <a:ext cx="1180353" cy="38867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14169</xdr:colOff>
      <xdr:row>12</xdr:row>
      <xdr:rowOff>250248</xdr:rowOff>
    </xdr:from>
    <xdr:to>
      <xdr:col>5</xdr:col>
      <xdr:colOff>1240119</xdr:colOff>
      <xdr:row>12</xdr:row>
      <xdr:rowOff>621553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512FB14-CFD3-E54C-B0C5-BCFE48767227}"/>
            </a:ext>
          </a:extLst>
        </xdr:cNvPr>
        <xdr:cNvSpPr txBox="1"/>
      </xdr:nvSpPr>
      <xdr:spPr>
        <a:xfrm>
          <a:off x="552051" y="7182954"/>
          <a:ext cx="8666656" cy="37130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1225176</xdr:colOff>
      <xdr:row>12</xdr:row>
      <xdr:rowOff>253235</xdr:rowOff>
    </xdr:from>
    <xdr:to>
      <xdr:col>6</xdr:col>
      <xdr:colOff>1249082</xdr:colOff>
      <xdr:row>12</xdr:row>
      <xdr:rowOff>622422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C3D5B4B-E6B9-5144-A0C5-B632EA9C0691}"/>
            </a:ext>
          </a:extLst>
        </xdr:cNvPr>
        <xdr:cNvSpPr txBox="1"/>
      </xdr:nvSpPr>
      <xdr:spPr>
        <a:xfrm>
          <a:off x="9203764" y="7185941"/>
          <a:ext cx="2504142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1251297</xdr:colOff>
      <xdr:row>12</xdr:row>
      <xdr:rowOff>247259</xdr:rowOff>
    </xdr:from>
    <xdr:to>
      <xdr:col>8</xdr:col>
      <xdr:colOff>2468282</xdr:colOff>
      <xdr:row>12</xdr:row>
      <xdr:rowOff>618564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B7E2925-1D39-E741-BB78-6EB948DE8B05}"/>
            </a:ext>
          </a:extLst>
        </xdr:cNvPr>
        <xdr:cNvSpPr txBox="1"/>
      </xdr:nvSpPr>
      <xdr:spPr>
        <a:xfrm>
          <a:off x="11710121" y="7179965"/>
          <a:ext cx="6177455" cy="37130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1168399</xdr:colOff>
      <xdr:row>14</xdr:row>
      <xdr:rowOff>330929</xdr:rowOff>
    </xdr:from>
    <xdr:to>
      <xdr:col>4</xdr:col>
      <xdr:colOff>1192306</xdr:colOff>
      <xdr:row>14</xdr:row>
      <xdr:rowOff>700116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E05927E-E6B8-1B45-85FD-0901A0810F5B}"/>
            </a:ext>
          </a:extLst>
        </xdr:cNvPr>
        <xdr:cNvSpPr txBox="1"/>
      </xdr:nvSpPr>
      <xdr:spPr>
        <a:xfrm>
          <a:off x="4186517" y="8533635"/>
          <a:ext cx="2504142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1197508</xdr:colOff>
      <xdr:row>14</xdr:row>
      <xdr:rowOff>327942</xdr:rowOff>
    </xdr:from>
    <xdr:to>
      <xdr:col>8</xdr:col>
      <xdr:colOff>1210234</xdr:colOff>
      <xdr:row>14</xdr:row>
      <xdr:rowOff>699247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74A1BE03-E01E-8F4F-832F-15E6A79951C2}"/>
            </a:ext>
          </a:extLst>
        </xdr:cNvPr>
        <xdr:cNvSpPr txBox="1"/>
      </xdr:nvSpPr>
      <xdr:spPr>
        <a:xfrm>
          <a:off x="6695861" y="8530648"/>
          <a:ext cx="9933667" cy="37130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8</xdr:col>
      <xdr:colOff>1201270</xdr:colOff>
      <xdr:row>14</xdr:row>
      <xdr:rowOff>333917</xdr:rowOff>
    </xdr:from>
    <xdr:to>
      <xdr:col>9</xdr:col>
      <xdr:colOff>0</xdr:colOff>
      <xdr:row>14</xdr:row>
      <xdr:rowOff>703104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DC0F90EB-CA04-ED4C-AAEC-FBFB678336F6}"/>
            </a:ext>
          </a:extLst>
        </xdr:cNvPr>
        <xdr:cNvSpPr txBox="1"/>
      </xdr:nvSpPr>
      <xdr:spPr>
        <a:xfrm>
          <a:off x="16620564" y="8536623"/>
          <a:ext cx="1278965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23906</xdr:colOff>
      <xdr:row>16</xdr:row>
      <xdr:rowOff>307023</xdr:rowOff>
    </xdr:from>
    <xdr:to>
      <xdr:col>2</xdr:col>
      <xdr:colOff>1302871</xdr:colOff>
      <xdr:row>16</xdr:row>
      <xdr:rowOff>676210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E3FD00B-2964-DA45-A1BF-703F3DB03DC2}"/>
            </a:ext>
          </a:extLst>
        </xdr:cNvPr>
        <xdr:cNvSpPr txBox="1"/>
      </xdr:nvSpPr>
      <xdr:spPr>
        <a:xfrm>
          <a:off x="561788" y="9779729"/>
          <a:ext cx="1278965" cy="3691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1302871</xdr:colOff>
      <xdr:row>16</xdr:row>
      <xdr:rowOff>316752</xdr:rowOff>
    </xdr:from>
    <xdr:to>
      <xdr:col>3</xdr:col>
      <xdr:colOff>2988</xdr:colOff>
      <xdr:row>16</xdr:row>
      <xdr:rowOff>705429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2CAA39C6-1DDE-4344-8CE7-57D1061D73D4}"/>
            </a:ext>
          </a:extLst>
        </xdr:cNvPr>
        <xdr:cNvSpPr txBox="1"/>
      </xdr:nvSpPr>
      <xdr:spPr>
        <a:xfrm>
          <a:off x="1840753" y="9789458"/>
          <a:ext cx="1180353" cy="38867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K22"/>
  <sheetViews>
    <sheetView showGridLines="0" zoomScale="86" zoomScaleNormal="100" workbookViewId="0">
      <pane ySplit="5" topLeftCell="A6" activePane="bottomLeft" state="frozen"/>
      <selection pane="bottomLeft" activeCell="D4" sqref="D4:H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1" ht="15" customHeight="1" thickBot="1" x14ac:dyDescent="0.2"/>
    <row r="2" spans="2:11" ht="75" customHeight="1" thickTop="1" x14ac:dyDescent="0.15">
      <c r="C2" s="163" t="s">
        <v>39</v>
      </c>
      <c r="D2" s="164"/>
      <c r="E2" s="164"/>
      <c r="F2" s="164"/>
      <c r="G2" s="164"/>
      <c r="H2" s="164"/>
      <c r="I2" s="165"/>
    </row>
    <row r="3" spans="2:11" s="13" customFormat="1" ht="20" customHeight="1" x14ac:dyDescent="0.15">
      <c r="C3" s="14" t="s">
        <v>0</v>
      </c>
      <c r="D3" s="129">
        <v>2025</v>
      </c>
      <c r="E3" s="16" t="s">
        <v>1</v>
      </c>
      <c r="F3" s="15" t="s">
        <v>2</v>
      </c>
      <c r="G3" s="17" t="s">
        <v>3</v>
      </c>
      <c r="H3" s="18"/>
      <c r="I3" s="19"/>
    </row>
    <row r="4" spans="2:11" ht="75" customHeight="1" x14ac:dyDescent="0.65">
      <c r="C4" s="131">
        <f>CalendarYear</f>
        <v>2025</v>
      </c>
      <c r="D4" s="169" t="s">
        <v>4</v>
      </c>
      <c r="E4" s="169"/>
      <c r="F4" s="169"/>
      <c r="G4" s="169"/>
      <c r="H4" s="169"/>
      <c r="I4" s="130"/>
      <c r="K4"/>
    </row>
    <row r="5" spans="2:11" s="2" customFormat="1" ht="35" customHeight="1" x14ac:dyDescent="0.15">
      <c r="B5" s="80"/>
      <c r="C5" s="10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11" s="32" customFormat="1" ht="25" customHeight="1" x14ac:dyDescent="0.2">
      <c r="B6" s="75"/>
      <c r="C6" s="118">
        <f t="array" ref="C6:I6">DaysAndWeeks+DATE(CalendarYear,1,1)-WEEKDAY(DATE(CalendarYear,1,1),(WeekStart="M")+1)+1</f>
        <v>45655</v>
      </c>
      <c r="D6" s="22">
        <v>45656</v>
      </c>
      <c r="E6" s="22">
        <v>45657</v>
      </c>
      <c r="F6" s="22">
        <v>45658</v>
      </c>
      <c r="G6" s="134">
        <v>45659</v>
      </c>
      <c r="H6" s="22">
        <v>45660</v>
      </c>
      <c r="I6" s="23">
        <v>45661</v>
      </c>
    </row>
    <row r="7" spans="2:11" s="6" customFormat="1" ht="75" customHeight="1" x14ac:dyDescent="0.15">
      <c r="B7" s="73"/>
      <c r="C7" s="160"/>
      <c r="D7" s="158"/>
      <c r="E7" s="117"/>
      <c r="F7" s="160">
        <v>0.625</v>
      </c>
      <c r="G7" s="160">
        <v>0.625</v>
      </c>
      <c r="H7" s="153"/>
      <c r="I7" s="7"/>
    </row>
    <row r="8" spans="2:11" s="32" customFormat="1" ht="25" customHeight="1" x14ac:dyDescent="0.2">
      <c r="B8" s="75"/>
      <c r="C8" s="20">
        <f t="array" ref="C8:I8">DaysAndWeeks+DATE(CalendarYear,1,1)-WEEKDAY(DATE(CalendarYear,1,1),(WeekStart="M")+1)+8</f>
        <v>45662</v>
      </c>
      <c r="D8" s="133">
        <v>45663</v>
      </c>
      <c r="E8" s="133">
        <v>45664</v>
      </c>
      <c r="F8" s="133">
        <v>45665</v>
      </c>
      <c r="G8" s="133">
        <v>45666</v>
      </c>
      <c r="H8" s="110">
        <v>45667</v>
      </c>
      <c r="I8" s="23">
        <v>45668</v>
      </c>
    </row>
    <row r="9" spans="2:11" s="6" customFormat="1" ht="75" customHeight="1" x14ac:dyDescent="0.15">
      <c r="B9" s="73"/>
      <c r="C9" s="160">
        <v>0.625</v>
      </c>
      <c r="D9" s="160">
        <v>0.625</v>
      </c>
      <c r="E9" s="160"/>
      <c r="G9" s="160">
        <v>0.625</v>
      </c>
      <c r="H9" s="160">
        <v>0.625</v>
      </c>
      <c r="I9" s="160"/>
    </row>
    <row r="10" spans="2:11" s="32" customFormat="1" ht="25" customHeight="1" x14ac:dyDescent="0.2">
      <c r="B10" s="75"/>
      <c r="C10" s="20">
        <f t="array" ref="C10:I10">DaysAndWeeks+DATE(CalendarYear,1,1)-WEEKDAY(DATE(CalendarYear,1,1),(WeekStart="M")+1)+15</f>
        <v>45669</v>
      </c>
      <c r="D10" s="21">
        <v>45670</v>
      </c>
      <c r="E10" s="21">
        <v>45671</v>
      </c>
      <c r="F10" s="21">
        <v>45672</v>
      </c>
      <c r="G10" s="24">
        <v>45673</v>
      </c>
      <c r="H10" s="25">
        <v>45674</v>
      </c>
      <c r="I10" s="23">
        <v>45675</v>
      </c>
    </row>
    <row r="11" spans="2:11" s="6" customFormat="1" ht="75" customHeight="1" x14ac:dyDescent="0.15">
      <c r="B11" s="73"/>
      <c r="C11" s="160"/>
      <c r="D11" s="158">
        <v>0.625</v>
      </c>
      <c r="E11" s="117">
        <v>0.625</v>
      </c>
      <c r="F11" s="8"/>
      <c r="G11" s="160"/>
      <c r="H11" s="160">
        <v>0.625</v>
      </c>
      <c r="I11" s="161">
        <v>0.625</v>
      </c>
    </row>
    <row r="12" spans="2:11" s="32" customFormat="1" ht="25" customHeight="1" x14ac:dyDescent="0.2">
      <c r="B12" s="75"/>
      <c r="C12" s="20">
        <f t="array" ref="C12:I12">DaysAndWeeks+DATE(CalendarYear,1,1)-WEEKDAY(DATE(CalendarYear,1,1),(WeekStart="M")+1)+22</f>
        <v>45676</v>
      </c>
      <c r="D12" s="21">
        <v>45677</v>
      </c>
      <c r="E12" s="21">
        <v>45678</v>
      </c>
      <c r="F12" s="21">
        <v>45679</v>
      </c>
      <c r="G12" s="21">
        <v>45680</v>
      </c>
      <c r="H12" s="22">
        <v>45681</v>
      </c>
      <c r="I12" s="23">
        <v>45682</v>
      </c>
    </row>
    <row r="13" spans="2:11" s="6" customFormat="1" ht="75" customHeight="1" x14ac:dyDescent="0.15">
      <c r="B13" s="73"/>
      <c r="C13" s="159"/>
      <c r="D13" s="8"/>
      <c r="E13" s="160">
        <v>0.625</v>
      </c>
      <c r="F13" s="160">
        <v>0.625</v>
      </c>
      <c r="G13" s="160"/>
      <c r="H13" s="160"/>
      <c r="I13" s="162">
        <v>0.625</v>
      </c>
    </row>
    <row r="14" spans="2:11" s="32" customFormat="1" ht="25" customHeight="1" x14ac:dyDescent="0.2">
      <c r="B14" s="75"/>
      <c r="C14" s="20">
        <f t="array" ref="C14:I14">DaysAndWeeks+DATE(CalendarYear,1,1)-WEEKDAY(DATE(CalendarYear,1,1),(WeekStart="M")+1)+29</f>
        <v>45683</v>
      </c>
      <c r="D14" s="21">
        <v>45684</v>
      </c>
      <c r="E14" s="21">
        <v>45685</v>
      </c>
      <c r="F14" s="26">
        <v>45686</v>
      </c>
      <c r="G14" s="26">
        <v>45687</v>
      </c>
      <c r="H14" s="26">
        <v>45688</v>
      </c>
      <c r="I14" s="27">
        <v>45689</v>
      </c>
    </row>
    <row r="15" spans="2:11" s="6" customFormat="1" ht="75" customHeight="1" x14ac:dyDescent="0.15">
      <c r="B15" s="73"/>
      <c r="C15" s="160">
        <v>0.625</v>
      </c>
      <c r="D15" s="160"/>
      <c r="E15" s="117"/>
      <c r="F15" s="3"/>
      <c r="G15" s="136"/>
      <c r="H15" s="137"/>
      <c r="I15" s="138"/>
    </row>
    <row r="16" spans="2:11" s="32" customFormat="1" ht="25" customHeight="1" x14ac:dyDescent="0.2">
      <c r="B16" s="75"/>
      <c r="C16" s="140">
        <f t="array" ref="C16:I16">DaysAndWeeks+DATE(CalendarYear,1,1)-WEEKDAY(DATE(CalendarYear,1,1),(WeekStart="M")+1)+36</f>
        <v>45690</v>
      </c>
      <c r="D16" s="26">
        <v>45691</v>
      </c>
      <c r="E16" s="26">
        <v>45692</v>
      </c>
      <c r="F16" s="26">
        <v>45693</v>
      </c>
      <c r="G16" s="26">
        <v>45694</v>
      </c>
      <c r="H16" s="26">
        <v>45695</v>
      </c>
      <c r="I16" s="27">
        <v>45696</v>
      </c>
    </row>
    <row r="17" spans="2:9" s="6" customFormat="1" ht="75" customHeight="1" x14ac:dyDescent="0.2">
      <c r="B17" s="73"/>
      <c r="C17" s="139"/>
      <c r="D17" s="4"/>
      <c r="E17" s="135"/>
      <c r="F17" s="4"/>
      <c r="G17" s="4"/>
      <c r="H17" s="4"/>
      <c r="I17" s="5"/>
    </row>
    <row r="18" spans="2:9" ht="125" customHeight="1" thickBot="1" x14ac:dyDescent="0.2">
      <c r="B18" s="74"/>
      <c r="C18" s="166" t="s">
        <v>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39" priority="6">
      <formula>DAY(C6)&gt;8</formula>
    </cfRule>
  </conditionalFormatting>
  <conditionalFormatting sqref="C8:H8">
    <cfRule type="expression" dxfId="38" priority="2">
      <formula>DAY(C8)&gt;8</formula>
    </cfRule>
  </conditionalFormatting>
  <conditionalFormatting sqref="C14:I14 C16:I16 D17 F17:I17 C18">
    <cfRule type="expression" dxfId="37" priority="4">
      <formula>AND(DAY(C14)&gt;=1,DAY(C14)&lt;=15)</formula>
    </cfRule>
  </conditionalFormatting>
  <dataValidations disablePrompts="1"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0" zoomScaleNormal="100" workbookViewId="0">
      <pane ySplit="5" topLeftCell="A6" activePane="bottomLeft" state="frozen"/>
      <selection pane="bottomLeft" activeCell="G13" sqref="G13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9"/>
      <c r="D1" s="79"/>
      <c r="E1" s="79"/>
      <c r="F1" s="79"/>
      <c r="G1" s="79"/>
      <c r="H1" s="79"/>
      <c r="I1" s="79"/>
    </row>
    <row r="2" spans="2:9" ht="75" customHeight="1" thickTop="1" x14ac:dyDescent="0.15">
      <c r="B2" s="74"/>
      <c r="C2" s="163" t="s">
        <v>39</v>
      </c>
      <c r="D2" s="164"/>
      <c r="E2" s="164"/>
      <c r="F2" s="164"/>
      <c r="G2" s="164"/>
      <c r="H2" s="164"/>
      <c r="I2" s="165"/>
    </row>
    <row r="3" spans="2:9" ht="20" customHeight="1" x14ac:dyDescent="0.15">
      <c r="B3" s="74"/>
      <c r="C3" s="48"/>
      <c r="D3" s="29"/>
      <c r="E3" s="29"/>
      <c r="F3" s="29"/>
      <c r="G3" s="48" t="s">
        <v>6</v>
      </c>
      <c r="H3" s="48" t="s">
        <v>7</v>
      </c>
      <c r="I3" s="87"/>
    </row>
    <row r="4" spans="2:9" ht="75" customHeight="1" x14ac:dyDescent="0.65">
      <c r="B4" s="74"/>
      <c r="C4" s="131">
        <f>CalendarYear</f>
        <v>2025</v>
      </c>
      <c r="D4" s="170" t="s">
        <v>8</v>
      </c>
      <c r="E4" s="170"/>
      <c r="F4" s="170"/>
      <c r="G4" s="170"/>
      <c r="H4" s="170"/>
      <c r="I4" s="132"/>
    </row>
    <row r="5" spans="2:9" ht="35" customHeight="1" x14ac:dyDescent="0.15">
      <c r="B5" s="74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4" customFormat="1" ht="25" customHeight="1" x14ac:dyDescent="0.2">
      <c r="B6" s="77"/>
      <c r="C6" s="50">
        <f t="array" ref="C6:I6">DaysAndWeeks+DATE(CalendarYear,2,1)-WEEKDAY(DATE(CalendarYear,2,1),(WeekStart="M")+1)+1</f>
        <v>45683</v>
      </c>
      <c r="D6" s="40">
        <v>45684</v>
      </c>
      <c r="E6" s="35">
        <v>45685</v>
      </c>
      <c r="F6" s="110">
        <v>45686</v>
      </c>
      <c r="G6" s="110">
        <v>45687</v>
      </c>
      <c r="H6" s="110">
        <v>45688</v>
      </c>
      <c r="I6" s="111">
        <v>45689</v>
      </c>
    </row>
    <row r="7" spans="2:9" s="6" customFormat="1" ht="75" customHeight="1" x14ac:dyDescent="0.15">
      <c r="B7" s="73"/>
      <c r="C7" s="49"/>
      <c r="D7" s="31"/>
      <c r="E7" s="135"/>
      <c r="F7" s="120"/>
      <c r="G7" s="120"/>
      <c r="H7" s="121">
        <v>0.625</v>
      </c>
      <c r="I7" s="121">
        <v>0.625</v>
      </c>
    </row>
    <row r="8" spans="2:9" s="34" customFormat="1" ht="25" customHeight="1" x14ac:dyDescent="0.2">
      <c r="B8" s="77"/>
      <c r="C8" s="113">
        <f t="array" ref="C8:I8">DaysAndWeeks+DATE(CalendarYear,2,1)-WEEKDAY(DATE(CalendarYear,2,1),(WeekStart="M")+1)+8</f>
        <v>45690</v>
      </c>
      <c r="D8" s="110">
        <v>45691</v>
      </c>
      <c r="E8" s="112">
        <v>45692</v>
      </c>
      <c r="F8" s="112">
        <v>45693</v>
      </c>
      <c r="G8" s="112">
        <v>45694</v>
      </c>
      <c r="H8" s="112">
        <v>45695</v>
      </c>
      <c r="I8" s="111">
        <v>45696</v>
      </c>
    </row>
    <row r="9" spans="2:9" s="53" customFormat="1" ht="75" customHeight="1" x14ac:dyDescent="0.15">
      <c r="B9" s="82"/>
      <c r="C9" s="122"/>
      <c r="D9" s="52"/>
      <c r="F9" s="121">
        <v>0.625</v>
      </c>
      <c r="G9" s="121">
        <v>0.625</v>
      </c>
      <c r="H9" s="121"/>
      <c r="I9" s="83"/>
    </row>
    <row r="10" spans="2:9" s="34" customFormat="1" ht="25" customHeight="1" x14ac:dyDescent="0.2">
      <c r="B10" s="77"/>
      <c r="C10" s="113">
        <f t="array" ref="C10:I10">DaysAndWeeks+DATE(CalendarYear,2,1)-WEEKDAY(DATE(CalendarYear,2,1),(WeekStart="M")+1)+15</f>
        <v>45697</v>
      </c>
      <c r="D10" s="110">
        <v>45698</v>
      </c>
      <c r="E10" s="110">
        <v>45699</v>
      </c>
      <c r="F10" s="110">
        <v>45700</v>
      </c>
      <c r="G10" s="110">
        <v>45701</v>
      </c>
      <c r="H10" s="110">
        <v>45702</v>
      </c>
      <c r="I10" s="111">
        <v>45703</v>
      </c>
    </row>
    <row r="11" spans="2:9" s="53" customFormat="1" ht="75" customHeight="1" x14ac:dyDescent="0.15">
      <c r="B11" s="82"/>
      <c r="C11" s="121"/>
      <c r="D11" s="121">
        <v>0.625</v>
      </c>
      <c r="E11" s="121">
        <v>0.625</v>
      </c>
      <c r="F11" s="122"/>
      <c r="G11" s="122"/>
      <c r="H11" s="125"/>
      <c r="I11" s="121">
        <v>0.625</v>
      </c>
    </row>
    <row r="12" spans="2:9" s="32" customFormat="1" ht="25" customHeight="1" x14ac:dyDescent="0.2">
      <c r="B12" s="75"/>
      <c r="C12" s="113">
        <f t="array" ref="C12:I12">DaysAndWeeks+DATE(CalendarYear,2,1)-WEEKDAY(DATE(CalendarYear,2,1),(WeekStart="M")+1)+22</f>
        <v>45704</v>
      </c>
      <c r="D12" s="110">
        <v>45705</v>
      </c>
      <c r="E12" s="110">
        <v>45706</v>
      </c>
      <c r="F12" s="110">
        <v>45707</v>
      </c>
      <c r="G12" s="110">
        <v>45708</v>
      </c>
      <c r="H12" s="110">
        <v>45709</v>
      </c>
      <c r="I12" s="111">
        <v>45710</v>
      </c>
    </row>
    <row r="13" spans="2:9" s="53" customFormat="1" ht="75" customHeight="1" x14ac:dyDescent="0.15">
      <c r="B13" s="82"/>
      <c r="C13" s="121">
        <v>0.625</v>
      </c>
      <c r="D13" s="52"/>
      <c r="E13" s="122"/>
      <c r="F13" s="154"/>
      <c r="G13" s="121">
        <v>0.625</v>
      </c>
      <c r="H13" s="121">
        <v>0.625</v>
      </c>
      <c r="I13" s="83"/>
    </row>
    <row r="14" spans="2:9" s="32" customFormat="1" ht="25" customHeight="1" x14ac:dyDescent="0.2">
      <c r="B14" s="75"/>
      <c r="C14" s="113">
        <f t="array" ref="C14:I14">DaysAndWeeks+DATE(CalendarYear,2,1)-WEEKDAY(DATE(CalendarYear,2,1),(WeekStart="M")+1)+29</f>
        <v>45711</v>
      </c>
      <c r="D14" s="110">
        <v>45712</v>
      </c>
      <c r="E14" s="141">
        <v>45713</v>
      </c>
      <c r="F14" s="39">
        <v>45714</v>
      </c>
      <c r="G14" s="39">
        <v>45715</v>
      </c>
      <c r="H14" s="39">
        <v>45716</v>
      </c>
      <c r="I14" s="84">
        <v>45717</v>
      </c>
    </row>
    <row r="15" spans="2:9" s="53" customFormat="1" ht="75" customHeight="1" x14ac:dyDescent="0.15">
      <c r="B15" s="82"/>
      <c r="C15" s="121"/>
      <c r="D15" s="122"/>
      <c r="E15" s="121">
        <v>0.625</v>
      </c>
      <c r="F15" s="55"/>
      <c r="G15" s="55"/>
      <c r="H15" s="55"/>
      <c r="I15" s="85"/>
    </row>
    <row r="16" spans="2:9" s="32" customFormat="1" ht="25" customHeight="1" x14ac:dyDescent="0.2">
      <c r="B16" s="75"/>
      <c r="C16" s="81">
        <f t="array" ref="C16:I16">DaysAndWeeks+DATE(CalendarYear,2,1)-WEEKDAY(DATE(CalendarYear,2,1),(WeekStart="M")+1)+36</f>
        <v>45718</v>
      </c>
      <c r="D16" s="38">
        <v>45719</v>
      </c>
      <c r="E16" s="38">
        <v>45720</v>
      </c>
      <c r="F16" s="38">
        <v>45721</v>
      </c>
      <c r="G16" s="38">
        <v>45722</v>
      </c>
      <c r="H16" s="38">
        <v>45723</v>
      </c>
      <c r="I16" s="86">
        <v>45724</v>
      </c>
    </row>
    <row r="17" spans="2:9" s="6" customFormat="1" ht="75" customHeight="1" x14ac:dyDescent="0.15">
      <c r="B17" s="73"/>
      <c r="C17" s="49"/>
      <c r="D17" s="3"/>
      <c r="E17" s="3"/>
      <c r="F17" s="3"/>
      <c r="G17" s="3"/>
      <c r="H17" s="3"/>
      <c r="I17" s="93"/>
    </row>
    <row r="18" spans="2:9" ht="125" customHeight="1" thickBot="1" x14ac:dyDescent="0.2">
      <c r="B18" s="74"/>
      <c r="C18" s="166" t="s">
        <v>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6" priority="2">
      <formula>AND(DAY(C18)&gt;=1,DAY(C18)&lt;=15)</formula>
    </cfRule>
  </conditionalFormatting>
  <conditionalFormatting sqref="C6:D6">
    <cfRule type="expression" dxfId="35" priority="5">
      <formula>DAY(C6)&gt;8</formula>
    </cfRule>
  </conditionalFormatting>
  <conditionalFormatting sqref="C8:E8">
    <cfRule type="expression" dxfId="34" priority="3">
      <formula>DAY(C8)&gt;8</formula>
    </cfRule>
  </conditionalFormatting>
  <conditionalFormatting sqref="C14:I14 D15 F15:I15 C16:I16">
    <cfRule type="expression" dxfId="33" priority="6">
      <formula>AND(DAY(C14)&gt;=1,DAY(C14)&lt;=15)</formula>
    </cfRule>
  </conditionalFormatting>
  <conditionalFormatting sqref="E6:I6">
    <cfRule type="expression" dxfId="32" priority="7">
      <formula>DAY(E6)&gt;8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J21"/>
  <sheetViews>
    <sheetView showGridLines="0" tabSelected="1" zoomScaleNormal="100" workbookViewId="0">
      <pane ySplit="5" topLeftCell="A6" activePane="bottomLeft" state="frozen"/>
      <selection pane="bottomLeft" activeCell="I15" sqref="I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0" ht="15" customHeight="1" thickBot="1" x14ac:dyDescent="0.2">
      <c r="C1" s="79"/>
      <c r="D1" s="79"/>
      <c r="E1" s="79"/>
      <c r="F1" s="79"/>
      <c r="G1" s="79"/>
      <c r="H1" s="79"/>
      <c r="I1" s="79"/>
    </row>
    <row r="2" spans="2:10" ht="75" customHeight="1" thickTop="1" x14ac:dyDescent="0.15">
      <c r="B2" s="74"/>
      <c r="C2" s="163" t="s">
        <v>39</v>
      </c>
      <c r="D2" s="164"/>
      <c r="E2" s="164"/>
      <c r="F2" s="164"/>
      <c r="G2" s="164"/>
      <c r="H2" s="164"/>
      <c r="I2" s="165"/>
    </row>
    <row r="3" spans="2:10" ht="20" customHeight="1" x14ac:dyDescent="0.15">
      <c r="B3" s="74"/>
      <c r="C3" s="30"/>
      <c r="D3" s="28"/>
      <c r="E3" s="28"/>
      <c r="F3" s="29"/>
      <c r="G3" s="48" t="s">
        <v>9</v>
      </c>
      <c r="H3" s="48" t="s">
        <v>10</v>
      </c>
      <c r="I3" s="91"/>
    </row>
    <row r="4" spans="2:10" ht="75" customHeight="1" x14ac:dyDescent="0.65">
      <c r="B4" s="74"/>
      <c r="C4" s="131">
        <f>CalendarYear</f>
        <v>2025</v>
      </c>
      <c r="D4" s="170" t="s">
        <v>11</v>
      </c>
      <c r="E4" s="170"/>
      <c r="F4" s="170"/>
      <c r="G4" s="170"/>
      <c r="H4" s="170"/>
      <c r="I4" s="132"/>
    </row>
    <row r="5" spans="2:10" ht="35" customHeight="1" x14ac:dyDescent="0.15">
      <c r="B5" s="74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10" s="32" customFormat="1" ht="25" customHeight="1" x14ac:dyDescent="0.2">
      <c r="B6" s="75"/>
      <c r="C6" s="63">
        <f t="array" ref="C6:I6">DaysAndWeeks+DATE(CalendarYear,3,1)-WEEKDAY(DATE(CalendarYear,3,1),(WeekStart="M")+1)+1</f>
        <v>45711</v>
      </c>
      <c r="D6" s="35">
        <v>45712</v>
      </c>
      <c r="E6" s="142">
        <v>45713</v>
      </c>
      <c r="F6" s="33">
        <v>45714</v>
      </c>
      <c r="G6" s="33">
        <v>45715</v>
      </c>
      <c r="H6" s="33">
        <v>45716</v>
      </c>
      <c r="I6" s="67">
        <v>45717</v>
      </c>
    </row>
    <row r="7" spans="2:10" s="53" customFormat="1" ht="75" customHeight="1" x14ac:dyDescent="0.15">
      <c r="B7" s="82"/>
      <c r="C7" s="92"/>
      <c r="D7" s="54"/>
      <c r="E7" s="127"/>
      <c r="F7" s="121">
        <v>0.625</v>
      </c>
      <c r="G7" s="122"/>
      <c r="H7" s="122"/>
      <c r="I7" s="83"/>
    </row>
    <row r="8" spans="2:10" s="32" customFormat="1" ht="25" customHeight="1" x14ac:dyDescent="0.2">
      <c r="B8" s="75"/>
      <c r="C8" s="36">
        <f t="array" ref="C8:I8">DaysAndWeeks+DATE(CalendarYear,3,1)-WEEKDAY(DATE(CalendarYear,3,1),(WeekStart="M")+1)+8</f>
        <v>45718</v>
      </c>
      <c r="D8" s="33">
        <v>45719</v>
      </c>
      <c r="E8" s="33">
        <v>45720</v>
      </c>
      <c r="F8" s="33">
        <v>45721</v>
      </c>
      <c r="G8" s="36">
        <v>45722</v>
      </c>
      <c r="H8" s="33">
        <v>45723</v>
      </c>
      <c r="I8" s="67">
        <v>45724</v>
      </c>
      <c r="J8" s="53"/>
    </row>
    <row r="9" spans="2:10" s="53" customFormat="1" ht="75" customHeight="1" x14ac:dyDescent="0.15">
      <c r="B9" s="82"/>
      <c r="C9" s="121">
        <v>0.625</v>
      </c>
      <c r="D9" s="121">
        <v>0.625</v>
      </c>
      <c r="E9" s="122"/>
      <c r="F9" s="122"/>
      <c r="G9" s="121"/>
      <c r="H9" s="121">
        <v>0.625</v>
      </c>
      <c r="I9" s="121">
        <v>0.625</v>
      </c>
    </row>
    <row r="10" spans="2:10" s="32" customFormat="1" ht="25" customHeight="1" x14ac:dyDescent="0.2">
      <c r="B10" s="75"/>
      <c r="C10" s="36">
        <f t="array" ref="C10:I10">DaysAndWeeks+DATE(CalendarYear,3,1)-WEEKDAY(DATE(CalendarYear,3,1),(WeekStart="M")+1)+15</f>
        <v>45725</v>
      </c>
      <c r="D10" s="33">
        <v>45726</v>
      </c>
      <c r="E10" s="33">
        <v>45727</v>
      </c>
      <c r="F10" s="33">
        <v>45728</v>
      </c>
      <c r="G10" s="33">
        <v>45729</v>
      </c>
      <c r="H10" s="33">
        <v>45730</v>
      </c>
      <c r="I10" s="67">
        <v>45731</v>
      </c>
    </row>
    <row r="11" spans="2:10" s="53" customFormat="1" ht="75" customHeight="1" x14ac:dyDescent="0.15">
      <c r="B11" s="82"/>
      <c r="C11" s="121"/>
      <c r="D11" s="122"/>
      <c r="E11" s="122"/>
      <c r="F11" s="121">
        <v>0.625</v>
      </c>
      <c r="G11" s="121">
        <v>0.625</v>
      </c>
      <c r="H11" s="122"/>
      <c r="I11" s="83"/>
    </row>
    <row r="12" spans="2:10" s="32" customFormat="1" ht="25" customHeight="1" x14ac:dyDescent="0.2">
      <c r="B12" s="75"/>
      <c r="C12" s="36">
        <f t="array" ref="C12:I12">DaysAndWeeks+DATE(CalendarYear,3,1)-WEEKDAY(DATE(CalendarYear,3,1),(WeekStart="M")+1)+22</f>
        <v>45732</v>
      </c>
      <c r="D12" s="33">
        <v>45733</v>
      </c>
      <c r="E12" s="33">
        <v>45734</v>
      </c>
      <c r="F12" s="33">
        <v>45735</v>
      </c>
      <c r="G12" s="33">
        <v>45736</v>
      </c>
      <c r="H12" s="37">
        <v>45737</v>
      </c>
      <c r="I12" s="88">
        <v>45738</v>
      </c>
    </row>
    <row r="13" spans="2:10" s="53" customFormat="1" ht="75" customHeight="1" x14ac:dyDescent="0.15">
      <c r="B13" s="82"/>
      <c r="C13" s="122"/>
      <c r="D13" s="121">
        <v>0.625</v>
      </c>
      <c r="E13" s="121">
        <v>0.625</v>
      </c>
      <c r="F13" s="122"/>
      <c r="G13" s="121"/>
      <c r="H13" s="122"/>
      <c r="I13" s="121">
        <v>0.625</v>
      </c>
    </row>
    <row r="14" spans="2:10" s="32" customFormat="1" ht="25" customHeight="1" x14ac:dyDescent="0.2">
      <c r="B14" s="75"/>
      <c r="C14" s="44">
        <f t="array" ref="C14:I14">DaysAndWeeks+DATE(CalendarYear,3,1)-WEEKDAY(DATE(CalendarYear,3,1),(WeekStart="M")+1)+29</f>
        <v>45739</v>
      </c>
      <c r="D14" s="33">
        <v>45740</v>
      </c>
      <c r="E14" s="33">
        <v>45741</v>
      </c>
      <c r="F14" s="33">
        <v>45742</v>
      </c>
      <c r="G14" s="44">
        <v>45743</v>
      </c>
      <c r="H14" s="143">
        <v>45744</v>
      </c>
      <c r="I14" s="69">
        <v>45745</v>
      </c>
    </row>
    <row r="15" spans="2:10" s="53" customFormat="1" ht="75" customHeight="1" x14ac:dyDescent="0.15">
      <c r="B15" s="82"/>
      <c r="C15" s="121">
        <v>0.625</v>
      </c>
      <c r="D15" s="122"/>
      <c r="E15" s="122"/>
      <c r="F15" s="122"/>
      <c r="G15" s="121">
        <v>0.625</v>
      </c>
      <c r="H15" s="121">
        <v>0.625</v>
      </c>
      <c r="I15" s="89"/>
    </row>
    <row r="16" spans="2:10" s="32" customFormat="1" ht="25" customHeight="1" x14ac:dyDescent="0.2">
      <c r="B16" s="75"/>
      <c r="C16" s="42">
        <f t="array" ref="C16:I16">DaysAndWeeks+DATE(CalendarYear,3,1)-WEEKDAY(DATE(CalendarYear,3,1),(WeekStart="M")+1)+36</f>
        <v>45746</v>
      </c>
      <c r="D16" s="35">
        <v>45747</v>
      </c>
      <c r="E16" s="35">
        <v>45748</v>
      </c>
      <c r="F16" s="35">
        <v>45749</v>
      </c>
      <c r="G16" s="35">
        <v>45750</v>
      </c>
      <c r="H16" s="35">
        <v>45751</v>
      </c>
      <c r="I16" s="69">
        <v>45752</v>
      </c>
    </row>
    <row r="17" spans="2:9" s="6" customFormat="1" ht="75" customHeight="1" x14ac:dyDescent="0.15">
      <c r="B17" s="73"/>
      <c r="C17" s="43"/>
      <c r="D17" s="41"/>
      <c r="E17" s="41"/>
      <c r="F17" s="41"/>
      <c r="G17" s="41"/>
      <c r="H17" s="41"/>
      <c r="I17" s="90"/>
    </row>
    <row r="18" spans="2:9" ht="125" customHeight="1" thickBot="1" x14ac:dyDescent="0.2">
      <c r="B18" s="74"/>
      <c r="C18" s="166" t="s">
        <v>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0" priority="1">
      <formula>AND(DAY(C7)&gt;=1,DAY(C7)&lt;=15)</formula>
    </cfRule>
  </conditionalFormatting>
  <conditionalFormatting sqref="C18">
    <cfRule type="expression" dxfId="29" priority="2">
      <formula>AND(DAY(C18)&gt;=1,DAY(C18)&lt;=15)</formula>
    </cfRule>
  </conditionalFormatting>
  <conditionalFormatting sqref="C6:H6">
    <cfRule type="expression" dxfId="28" priority="4">
      <formula>DAY(C6)&gt;8</formula>
    </cfRule>
  </conditionalFormatting>
  <conditionalFormatting sqref="C14:I14 D15:F15 I15 C16:I17">
    <cfRule type="expression" dxfId="27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18" sqref="C18:I18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9"/>
      <c r="D1" s="79"/>
      <c r="E1" s="79"/>
      <c r="F1" s="79"/>
      <c r="G1" s="79"/>
      <c r="H1" s="79"/>
      <c r="I1" s="79"/>
    </row>
    <row r="2" spans="2:9" ht="75" customHeight="1" thickTop="1" x14ac:dyDescent="0.15">
      <c r="B2" s="74"/>
      <c r="C2" s="163" t="s">
        <v>39</v>
      </c>
      <c r="D2" s="164"/>
      <c r="E2" s="164"/>
      <c r="F2" s="164"/>
      <c r="G2" s="164"/>
      <c r="H2" s="164"/>
      <c r="I2" s="165"/>
    </row>
    <row r="3" spans="2:9" ht="20" customHeight="1" x14ac:dyDescent="0.15">
      <c r="B3" s="74"/>
      <c r="C3" s="17"/>
      <c r="D3" s="17"/>
      <c r="E3" s="45"/>
      <c r="F3" s="45"/>
      <c r="G3" s="17" t="s">
        <v>12</v>
      </c>
      <c r="H3" s="17" t="s">
        <v>13</v>
      </c>
      <c r="I3" s="95"/>
    </row>
    <row r="4" spans="2:9" ht="75" customHeight="1" x14ac:dyDescent="0.65">
      <c r="B4" s="74"/>
      <c r="C4" s="131">
        <f>CalendarYear</f>
        <v>2025</v>
      </c>
      <c r="D4" s="174" t="s">
        <v>14</v>
      </c>
      <c r="E4" s="174"/>
      <c r="F4" s="174"/>
      <c r="G4" s="174"/>
      <c r="H4" s="174"/>
      <c r="I4" s="132"/>
    </row>
    <row r="5" spans="2:9" ht="35" customHeight="1" x14ac:dyDescent="0.15">
      <c r="B5" s="74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 x14ac:dyDescent="0.2">
      <c r="B6" s="75"/>
      <c r="C6" s="42">
        <f t="array" ref="C6:I6">DaysAndWeeks+DATE(CalendarYear,4,1)-WEEKDAY(DATE(CalendarYear,4,1),(WeekStart="M")+1)+1</f>
        <v>45746</v>
      </c>
      <c r="D6" s="35">
        <v>45747</v>
      </c>
      <c r="E6" s="35">
        <v>45748</v>
      </c>
      <c r="F6" s="35">
        <v>45749</v>
      </c>
      <c r="G6" s="35">
        <v>45750</v>
      </c>
      <c r="H6" s="35">
        <v>45751</v>
      </c>
      <c r="I6" s="67">
        <v>45752</v>
      </c>
    </row>
    <row r="7" spans="2:9" s="53" customFormat="1" ht="75" customHeight="1" x14ac:dyDescent="0.15">
      <c r="B7" s="82"/>
      <c r="C7" s="56"/>
      <c r="D7" s="57"/>
      <c r="E7" s="57"/>
      <c r="F7" s="54"/>
      <c r="G7" s="123"/>
      <c r="H7" s="54"/>
      <c r="I7" s="83"/>
    </row>
    <row r="8" spans="2:9" s="32" customFormat="1" ht="25" customHeight="1" x14ac:dyDescent="0.2">
      <c r="B8" s="75"/>
      <c r="C8" s="36">
        <f t="array" ref="C8:I8">DaysAndWeeks+DATE(CalendarYear,4,1)-WEEKDAY(DATE(CalendarYear,4,1),(WeekStart="M")+1)+8</f>
        <v>45753</v>
      </c>
      <c r="D8" s="33">
        <v>45754</v>
      </c>
      <c r="E8" s="33">
        <v>45755</v>
      </c>
      <c r="F8" s="33">
        <v>45756</v>
      </c>
      <c r="G8" s="33">
        <v>45757</v>
      </c>
      <c r="H8" s="33">
        <v>45758</v>
      </c>
      <c r="I8" s="67">
        <v>45759</v>
      </c>
    </row>
    <row r="9" spans="2:9" s="53" customFormat="1" ht="75" customHeight="1" x14ac:dyDescent="0.15">
      <c r="B9" s="82"/>
      <c r="C9" s="122"/>
      <c r="D9" s="52"/>
      <c r="E9" s="122">
        <v>0.625</v>
      </c>
      <c r="F9" s="122">
        <v>0.625</v>
      </c>
      <c r="G9" s="122"/>
      <c r="H9" s="122"/>
      <c r="I9" s="83"/>
    </row>
    <row r="10" spans="2:9" s="32" customFormat="1" ht="25" customHeight="1" x14ac:dyDescent="0.2">
      <c r="B10" s="75"/>
      <c r="C10" s="36">
        <f t="array" ref="C10:I10">DaysAndWeeks+DATE(CalendarYear,4,1)-WEEKDAY(DATE(CalendarYear,4,1),(WeekStart="M")+1)+15</f>
        <v>45760</v>
      </c>
      <c r="D10" s="33">
        <v>45761</v>
      </c>
      <c r="E10" s="33">
        <v>45762</v>
      </c>
      <c r="F10" s="33">
        <v>45763</v>
      </c>
      <c r="G10" s="33">
        <v>45764</v>
      </c>
      <c r="H10" s="33">
        <v>45765</v>
      </c>
      <c r="I10" s="67">
        <v>45766</v>
      </c>
    </row>
    <row r="11" spans="2:9" s="53" customFormat="1" ht="75" customHeight="1" x14ac:dyDescent="0.15">
      <c r="B11" s="82"/>
      <c r="C11" s="122">
        <v>0.625</v>
      </c>
      <c r="D11" s="122">
        <v>0.625</v>
      </c>
      <c r="E11" s="122"/>
      <c r="F11" s="122"/>
      <c r="G11" s="122"/>
      <c r="H11" s="122">
        <v>0.625</v>
      </c>
      <c r="I11" s="122">
        <v>0.625</v>
      </c>
    </row>
    <row r="12" spans="2:9" s="32" customFormat="1" ht="25" customHeight="1" x14ac:dyDescent="0.2">
      <c r="B12" s="75"/>
      <c r="C12" s="36">
        <f t="array" ref="C12:I12">DaysAndWeeks+DATE(CalendarYear,4,1)-WEEKDAY(DATE(CalendarYear,4,1),(WeekStart="M")+1)+22</f>
        <v>45767</v>
      </c>
      <c r="D12" s="33">
        <v>45768</v>
      </c>
      <c r="E12" s="33">
        <v>45769</v>
      </c>
      <c r="F12" s="33">
        <v>45770</v>
      </c>
      <c r="G12" s="33">
        <v>45771</v>
      </c>
      <c r="H12" s="33">
        <v>45772</v>
      </c>
      <c r="I12" s="67">
        <v>45773</v>
      </c>
    </row>
    <row r="13" spans="2:9" s="53" customFormat="1" ht="75" customHeight="1" x14ac:dyDescent="0.15">
      <c r="B13" s="82"/>
      <c r="C13" s="122"/>
      <c r="D13" s="52"/>
      <c r="E13" s="122"/>
      <c r="F13" s="122">
        <v>0.625</v>
      </c>
      <c r="G13" s="122">
        <v>0.625</v>
      </c>
      <c r="H13" s="122"/>
      <c r="I13" s="83"/>
    </row>
    <row r="14" spans="2:9" s="32" customFormat="1" ht="25" customHeight="1" x14ac:dyDescent="0.2">
      <c r="B14" s="75"/>
      <c r="C14" s="36">
        <f t="array" ref="C14:I14">DaysAndWeeks+DATE(CalendarYear,4,1)-WEEKDAY(DATE(CalendarYear,4,1),(WeekStart="M")+1)+29</f>
        <v>45774</v>
      </c>
      <c r="D14" s="33">
        <v>45775</v>
      </c>
      <c r="E14" s="33">
        <v>45776</v>
      </c>
      <c r="F14" s="33">
        <v>45777</v>
      </c>
      <c r="G14" s="33">
        <v>45778</v>
      </c>
      <c r="H14" s="33">
        <v>45779</v>
      </c>
      <c r="I14" s="67">
        <v>45780</v>
      </c>
    </row>
    <row r="15" spans="2:9" s="53" customFormat="1" ht="75" customHeight="1" x14ac:dyDescent="0.15">
      <c r="B15" s="82"/>
      <c r="C15" s="122"/>
      <c r="D15" s="122">
        <v>0.625</v>
      </c>
      <c r="E15" s="122">
        <v>0.625</v>
      </c>
      <c r="F15" s="122"/>
      <c r="G15" s="122"/>
      <c r="H15" s="122"/>
      <c r="I15" s="122">
        <v>0.625</v>
      </c>
    </row>
    <row r="16" spans="2:9" s="32" customFormat="1" ht="25" customHeight="1" x14ac:dyDescent="0.2">
      <c r="B16" s="75"/>
      <c r="C16" s="144">
        <f t="array" ref="C16:I16">DaysAndWeeks+DATE(CalendarYear,4,1)-WEEKDAY(DATE(CalendarYear,4,1),(WeekStart="M")+1)+36</f>
        <v>45781</v>
      </c>
      <c r="D16" s="51">
        <v>45782</v>
      </c>
      <c r="E16" s="51">
        <v>45783</v>
      </c>
      <c r="F16" s="51">
        <v>45784</v>
      </c>
      <c r="G16" s="51">
        <v>45785</v>
      </c>
      <c r="H16" s="51">
        <v>45786</v>
      </c>
      <c r="I16" s="94">
        <v>45787</v>
      </c>
    </row>
    <row r="17" spans="2:9" s="6" customFormat="1" ht="75" customHeight="1" x14ac:dyDescent="0.15">
      <c r="B17" s="73"/>
      <c r="C17" s="122">
        <v>0.625</v>
      </c>
      <c r="D17" s="41"/>
      <c r="E17" s="41"/>
      <c r="F17" s="41"/>
      <c r="G17" s="41"/>
      <c r="H17" s="41"/>
      <c r="I17" s="90"/>
    </row>
    <row r="18" spans="2:9" ht="125" customHeight="1" thickBot="1" x14ac:dyDescent="0.2">
      <c r="B18" s="74"/>
      <c r="C18" s="171" t="s">
        <v>5</v>
      </c>
      <c r="D18" s="172"/>
      <c r="E18" s="172"/>
      <c r="F18" s="172"/>
      <c r="G18" s="172"/>
      <c r="H18" s="172"/>
      <c r="I18" s="17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6" priority="1">
      <formula>AND(DAY(C18)&gt;=1,DAY(C18)&lt;=15)</formula>
    </cfRule>
  </conditionalFormatting>
  <conditionalFormatting sqref="C6:H6">
    <cfRule type="expression" dxfId="25" priority="3">
      <formula>DAY(C6)&gt;8</formula>
    </cfRule>
  </conditionalFormatting>
  <conditionalFormatting sqref="C14:I14 F15:H15 C16:I16 D17:I17">
    <cfRule type="expression" dxfId="24" priority="2">
      <formula>AND(DAY(C14)&gt;=1,DAY(C14)&lt;=15)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G15" sqref="G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9"/>
      <c r="D1" s="79"/>
      <c r="E1" s="79"/>
      <c r="F1" s="79"/>
      <c r="G1" s="79"/>
      <c r="H1" s="79"/>
      <c r="I1" s="79"/>
    </row>
    <row r="2" spans="2:9" ht="75" customHeight="1" thickTop="1" x14ac:dyDescent="0.15">
      <c r="B2" s="74"/>
      <c r="C2" s="163" t="s">
        <v>39</v>
      </c>
      <c r="D2" s="164"/>
      <c r="E2" s="164"/>
      <c r="F2" s="164"/>
      <c r="G2" s="164"/>
      <c r="H2" s="164"/>
      <c r="I2" s="165"/>
    </row>
    <row r="3" spans="2:9" ht="20" customHeight="1" x14ac:dyDescent="0.3">
      <c r="B3" s="74"/>
      <c r="C3" s="58"/>
      <c r="D3" s="59"/>
      <c r="E3" s="59"/>
      <c r="F3" s="28"/>
      <c r="G3" s="17" t="s">
        <v>15</v>
      </c>
      <c r="H3" s="17" t="s">
        <v>16</v>
      </c>
      <c r="I3" s="78"/>
    </row>
    <row r="4" spans="2:9" ht="75" customHeight="1" x14ac:dyDescent="0.65">
      <c r="B4" s="74"/>
      <c r="C4" s="131">
        <f>CalendarYear</f>
        <v>2025</v>
      </c>
      <c r="D4" s="174" t="s">
        <v>17</v>
      </c>
      <c r="E4" s="174"/>
      <c r="F4" s="174"/>
      <c r="G4" s="174"/>
      <c r="H4" s="174"/>
      <c r="I4" s="132"/>
    </row>
    <row r="5" spans="2:9" ht="35" customHeight="1" x14ac:dyDescent="0.15">
      <c r="B5" s="74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4" customFormat="1" ht="25" customHeight="1" x14ac:dyDescent="0.2">
      <c r="B6" s="77"/>
      <c r="C6" s="63">
        <f t="array" ref="C6:I6">DaysAndWeeks+DATE(CalendarYear,5,1)-WEEKDAY(DATE(CalendarYear,5,1),(WeekStart="M")+1)+1</f>
        <v>45774</v>
      </c>
      <c r="D6" s="110">
        <v>45775</v>
      </c>
      <c r="E6" s="114">
        <v>45776</v>
      </c>
      <c r="F6" s="114">
        <v>45777</v>
      </c>
      <c r="G6" s="114">
        <v>45778</v>
      </c>
      <c r="H6" s="114">
        <v>45779</v>
      </c>
      <c r="I6" s="115">
        <v>45780</v>
      </c>
    </row>
    <row r="7" spans="2:9" s="53" customFormat="1" ht="75" customHeight="1" x14ac:dyDescent="0.15">
      <c r="B7" s="82"/>
      <c r="C7" s="145"/>
      <c r="D7" s="9"/>
      <c r="E7" s="122"/>
      <c r="F7" s="122"/>
      <c r="G7" s="122">
        <v>0.625</v>
      </c>
      <c r="H7" s="122">
        <v>0.625</v>
      </c>
      <c r="I7" s="83"/>
    </row>
    <row r="8" spans="2:9" s="34" customFormat="1" ht="25" customHeight="1" x14ac:dyDescent="0.2">
      <c r="B8" s="77"/>
      <c r="C8" s="113">
        <f t="array" ref="C8:I8">DaysAndWeeks+DATE(CalendarYear,5,1)-WEEKDAY(DATE(CalendarYear,5,1),(WeekStart="M")+1)+8</f>
        <v>45781</v>
      </c>
      <c r="D8" s="110">
        <v>45782</v>
      </c>
      <c r="E8" s="110">
        <v>45783</v>
      </c>
      <c r="F8" s="110">
        <v>45784</v>
      </c>
      <c r="G8" s="110">
        <v>45785</v>
      </c>
      <c r="H8" s="110">
        <v>45786</v>
      </c>
      <c r="I8" s="111">
        <v>45787</v>
      </c>
    </row>
    <row r="9" spans="2:9" s="53" customFormat="1" ht="75" customHeight="1" x14ac:dyDescent="0.15">
      <c r="B9" s="82"/>
      <c r="C9" s="122"/>
      <c r="D9" s="122"/>
      <c r="E9" s="122">
        <v>0.625</v>
      </c>
      <c r="F9" s="122">
        <v>0.625</v>
      </c>
      <c r="G9" s="122"/>
      <c r="H9" s="122"/>
      <c r="I9" s="83"/>
    </row>
    <row r="10" spans="2:9" s="34" customFormat="1" ht="25" customHeight="1" x14ac:dyDescent="0.2">
      <c r="B10" s="77"/>
      <c r="C10" s="113">
        <f t="array" ref="C10:I10">DaysAndWeeks+DATE(CalendarYear,5,1)-WEEKDAY(DATE(CalendarYear,5,1),(WeekStart="M")+1)+15</f>
        <v>45788</v>
      </c>
      <c r="D10" s="110">
        <v>45789</v>
      </c>
      <c r="E10" s="110">
        <v>45790</v>
      </c>
      <c r="F10" s="116">
        <v>45791</v>
      </c>
      <c r="G10" s="110">
        <v>45792</v>
      </c>
      <c r="H10" s="110">
        <v>45793</v>
      </c>
      <c r="I10" s="111">
        <v>45794</v>
      </c>
    </row>
    <row r="11" spans="2:9" s="53" customFormat="1" ht="75" customHeight="1" x14ac:dyDescent="0.15">
      <c r="B11" s="82"/>
      <c r="C11" s="122">
        <v>0.625</v>
      </c>
      <c r="D11" s="122">
        <v>0.625</v>
      </c>
      <c r="E11" s="122"/>
      <c r="F11" s="155"/>
      <c r="G11" s="122"/>
      <c r="H11" s="122">
        <v>0.625</v>
      </c>
      <c r="I11" s="122">
        <v>0.625</v>
      </c>
    </row>
    <row r="12" spans="2:9" s="34" customFormat="1" ht="25" customHeight="1" x14ac:dyDescent="0.2">
      <c r="B12" s="77"/>
      <c r="C12" s="113">
        <f t="array" ref="C12:I12">DaysAndWeeks+DATE(CalendarYear,5,1)-WEEKDAY(DATE(CalendarYear,5,1),(WeekStart="M")+1)+22</f>
        <v>45795</v>
      </c>
      <c r="D12" s="110">
        <v>45796</v>
      </c>
      <c r="E12" s="110">
        <v>45797</v>
      </c>
      <c r="F12" s="110">
        <v>45798</v>
      </c>
      <c r="G12" s="110">
        <v>45799</v>
      </c>
      <c r="H12" s="110">
        <v>45800</v>
      </c>
      <c r="I12" s="111">
        <v>45801</v>
      </c>
    </row>
    <row r="13" spans="2:9" s="53" customFormat="1" ht="75" customHeight="1" x14ac:dyDescent="0.15">
      <c r="B13" s="82"/>
      <c r="C13" s="122"/>
      <c r="D13" s="122"/>
      <c r="E13" s="122"/>
      <c r="F13" s="122">
        <v>0.625</v>
      </c>
      <c r="G13" s="122">
        <v>0.625</v>
      </c>
      <c r="H13" s="122"/>
      <c r="I13" s="83"/>
    </row>
    <row r="14" spans="2:9" s="34" customFormat="1" ht="25" customHeight="1" x14ac:dyDescent="0.2">
      <c r="B14" s="77"/>
      <c r="C14" s="113">
        <f t="array" ref="C14:I14">DaysAndWeeks+DATE(CalendarYear,5,1)-WEEKDAY(DATE(CalendarYear,5,1),(WeekStart="M")+1)+29</f>
        <v>45802</v>
      </c>
      <c r="D14" s="110">
        <v>45803</v>
      </c>
      <c r="E14" s="110">
        <v>45804</v>
      </c>
      <c r="F14" s="110">
        <v>45805</v>
      </c>
      <c r="G14" s="35">
        <v>45806</v>
      </c>
      <c r="H14" s="35">
        <v>45807</v>
      </c>
      <c r="I14" s="69">
        <v>45808</v>
      </c>
    </row>
    <row r="15" spans="2:9" s="53" customFormat="1" ht="75" customHeight="1" x14ac:dyDescent="0.15">
      <c r="B15" s="82"/>
      <c r="C15" s="122"/>
      <c r="D15" s="122">
        <v>0.625</v>
      </c>
      <c r="E15" s="122">
        <v>0.625</v>
      </c>
      <c r="F15" s="122"/>
      <c r="G15" s="54"/>
      <c r="H15" s="54"/>
      <c r="I15" s="89"/>
    </row>
    <row r="16" spans="2:9" s="32" customFormat="1" ht="25" customHeight="1" x14ac:dyDescent="0.2">
      <c r="B16" s="75"/>
      <c r="C16" s="42">
        <f t="array" ref="C16:I16">DaysAndWeeks+DATE(CalendarYear,5,1)-WEEKDAY(DATE(CalendarYear,5,1),(WeekStart="M")+1)+36</f>
        <v>45809</v>
      </c>
      <c r="D16" s="35">
        <v>45810</v>
      </c>
      <c r="E16" s="35">
        <v>45811</v>
      </c>
      <c r="F16" s="35">
        <v>45812</v>
      </c>
      <c r="G16" s="35">
        <v>45813</v>
      </c>
      <c r="H16" s="35">
        <v>45814</v>
      </c>
      <c r="I16" s="69">
        <v>45815</v>
      </c>
    </row>
    <row r="17" spans="2:9" ht="75" customHeight="1" x14ac:dyDescent="0.15">
      <c r="B17" s="74"/>
      <c r="C17" s="47"/>
      <c r="D17" s="46"/>
      <c r="E17" s="46"/>
      <c r="F17" s="46"/>
      <c r="G17" s="46"/>
      <c r="H17" s="46"/>
      <c r="I17" s="96"/>
    </row>
    <row r="18" spans="2:9" ht="125" customHeight="1" thickBot="1" x14ac:dyDescent="0.2">
      <c r="B18" s="74"/>
      <c r="C18" s="166" t="s">
        <v>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4 F15:I15 C16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15" sqref="I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9"/>
      <c r="D1" s="79"/>
      <c r="E1" s="79"/>
      <c r="F1" s="79"/>
      <c r="G1" s="79"/>
      <c r="H1" s="79"/>
      <c r="I1" s="79"/>
    </row>
    <row r="2" spans="2:9" ht="75" customHeight="1" thickTop="1" x14ac:dyDescent="0.15">
      <c r="B2" s="74"/>
      <c r="C2" s="163" t="s">
        <v>39</v>
      </c>
      <c r="D2" s="164"/>
      <c r="E2" s="164"/>
      <c r="F2" s="164"/>
      <c r="G2" s="164"/>
      <c r="H2" s="164"/>
      <c r="I2" s="165"/>
    </row>
    <row r="3" spans="2:9" ht="20" customHeight="1" x14ac:dyDescent="0.3">
      <c r="B3" s="74"/>
      <c r="C3" s="58"/>
      <c r="D3" s="59"/>
      <c r="E3" s="59"/>
      <c r="F3" s="60"/>
      <c r="G3" s="17" t="s">
        <v>18</v>
      </c>
      <c r="H3" s="17" t="s">
        <v>19</v>
      </c>
      <c r="I3" s="78"/>
    </row>
    <row r="4" spans="2:9" ht="75" customHeight="1" x14ac:dyDescent="0.65">
      <c r="B4" s="74"/>
      <c r="C4" s="131">
        <f>CalendarYear</f>
        <v>2025</v>
      </c>
      <c r="D4" s="174" t="s">
        <v>20</v>
      </c>
      <c r="E4" s="174"/>
      <c r="F4" s="174"/>
      <c r="G4" s="174"/>
      <c r="H4" s="174"/>
      <c r="I4" s="132"/>
    </row>
    <row r="5" spans="2:9" ht="35" customHeight="1" x14ac:dyDescent="0.15">
      <c r="B5" s="74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 x14ac:dyDescent="0.2">
      <c r="B6" s="75"/>
      <c r="C6" s="42">
        <f t="array" ref="C6:I6">DaysAndWeeks+DATE(CalendarYear,6,1)-WEEKDAY(DATE(CalendarYear,6,1),(WeekStart="M")+1)+1</f>
        <v>45809</v>
      </c>
      <c r="D6" s="35">
        <v>45810</v>
      </c>
      <c r="E6" s="35">
        <v>45811</v>
      </c>
      <c r="F6" s="35">
        <v>45812</v>
      </c>
      <c r="G6" s="33">
        <v>45813</v>
      </c>
      <c r="H6" s="33">
        <v>45814</v>
      </c>
      <c r="I6" s="67">
        <v>45815</v>
      </c>
    </row>
    <row r="7" spans="2:9" s="65" customFormat="1" ht="75" customHeight="1" x14ac:dyDescent="0.15">
      <c r="B7" s="76"/>
      <c r="C7" s="66"/>
      <c r="D7" s="64"/>
      <c r="E7" s="124"/>
      <c r="F7" s="146"/>
      <c r="G7" s="119"/>
      <c r="H7" s="119"/>
      <c r="I7" s="119">
        <v>0.625</v>
      </c>
    </row>
    <row r="8" spans="2:9" s="34" customFormat="1" ht="25" customHeight="1" x14ac:dyDescent="0.2">
      <c r="B8" s="77"/>
      <c r="C8" s="36">
        <f t="array" ref="C8:I8">DaysAndWeeks+DATE(CalendarYear,6,1)-WEEKDAY(DATE(CalendarYear,6,1),(WeekStart="M")+1)+8</f>
        <v>45816</v>
      </c>
      <c r="D8" s="33">
        <v>45817</v>
      </c>
      <c r="E8" s="33">
        <v>45818</v>
      </c>
      <c r="F8" s="33">
        <v>45819</v>
      </c>
      <c r="G8" s="33">
        <v>45820</v>
      </c>
      <c r="H8" s="33">
        <v>45821</v>
      </c>
      <c r="I8" s="67">
        <v>45822</v>
      </c>
    </row>
    <row r="9" spans="2:9" s="65" customFormat="1" ht="75" customHeight="1" x14ac:dyDescent="0.15">
      <c r="B9" s="76"/>
      <c r="C9" s="122">
        <v>0.625</v>
      </c>
      <c r="D9" s="119"/>
      <c r="E9" s="122"/>
      <c r="F9" s="119"/>
      <c r="G9" s="119">
        <v>0.625</v>
      </c>
      <c r="H9" s="119">
        <v>0.625</v>
      </c>
      <c r="I9" s="68"/>
    </row>
    <row r="10" spans="2:9" s="34" customFormat="1" ht="25" customHeight="1" x14ac:dyDescent="0.2">
      <c r="B10" s="77"/>
      <c r="C10" s="36">
        <f t="array" ref="C10:I10">DaysAndWeeks+DATE(CalendarYear,6,1)-WEEKDAY(DATE(CalendarYear,6,1),(WeekStart="M")+1)+15</f>
        <v>45823</v>
      </c>
      <c r="D10" s="33">
        <v>45824</v>
      </c>
      <c r="E10" s="33">
        <v>45825</v>
      </c>
      <c r="F10" s="33">
        <v>45826</v>
      </c>
      <c r="G10" s="33">
        <v>45827</v>
      </c>
      <c r="H10" s="33">
        <v>45828</v>
      </c>
      <c r="I10" s="67">
        <v>45829</v>
      </c>
    </row>
    <row r="11" spans="2:9" s="65" customFormat="1" ht="75" customHeight="1" x14ac:dyDescent="0.15">
      <c r="B11" s="76"/>
      <c r="C11" s="119"/>
      <c r="D11" s="126"/>
      <c r="E11" s="119">
        <v>0.625</v>
      </c>
      <c r="F11" s="119">
        <v>0.625</v>
      </c>
      <c r="G11" s="119"/>
      <c r="H11" s="119"/>
      <c r="I11" s="68"/>
    </row>
    <row r="12" spans="2:9" s="34" customFormat="1" ht="25" customHeight="1" x14ac:dyDescent="0.2">
      <c r="B12" s="77"/>
      <c r="C12" s="36">
        <f t="array" ref="C12:I12">DaysAndWeeks+DATE(CalendarYear,6,1)-WEEKDAY(DATE(CalendarYear,6,1),(WeekStart="M")+1)+22</f>
        <v>45830</v>
      </c>
      <c r="D12" s="33">
        <v>45831</v>
      </c>
      <c r="E12" s="33">
        <v>45832</v>
      </c>
      <c r="F12" s="33">
        <v>45833</v>
      </c>
      <c r="G12" s="33">
        <v>45834</v>
      </c>
      <c r="H12" s="33">
        <v>45835</v>
      </c>
      <c r="I12" s="67">
        <v>45836</v>
      </c>
    </row>
    <row r="13" spans="2:9" s="65" customFormat="1" ht="75" customHeight="1" x14ac:dyDescent="0.15">
      <c r="B13" s="76"/>
      <c r="C13" s="122">
        <v>0.625</v>
      </c>
      <c r="D13" s="119">
        <v>0.625</v>
      </c>
      <c r="E13" s="122"/>
      <c r="F13" s="119"/>
      <c r="G13" s="122"/>
      <c r="H13" s="119">
        <v>0.625</v>
      </c>
      <c r="I13" s="119">
        <v>0.625</v>
      </c>
    </row>
    <row r="14" spans="2:9" s="34" customFormat="1" ht="25" customHeight="1" x14ac:dyDescent="0.2">
      <c r="B14" s="77"/>
      <c r="C14" s="36">
        <f t="array" ref="C14:I14">DaysAndWeeks+DATE(CalendarYear,6,1)-WEEKDAY(DATE(CalendarYear,6,1),(WeekStart="M")+1)+29</f>
        <v>45837</v>
      </c>
      <c r="D14" s="33">
        <v>45838</v>
      </c>
      <c r="E14" s="33">
        <v>45839</v>
      </c>
      <c r="F14" s="33">
        <v>45840</v>
      </c>
      <c r="G14" s="33">
        <v>45841</v>
      </c>
      <c r="H14" s="133">
        <v>45842</v>
      </c>
      <c r="I14" s="69">
        <v>45843</v>
      </c>
    </row>
    <row r="15" spans="2:9" s="65" customFormat="1" ht="75" customHeight="1" x14ac:dyDescent="0.15">
      <c r="B15" s="76"/>
      <c r="C15" s="119"/>
      <c r="D15" s="126"/>
      <c r="E15" s="122"/>
      <c r="F15" s="119">
        <v>0.625</v>
      </c>
      <c r="G15" s="119">
        <v>0.625</v>
      </c>
      <c r="H15" s="119"/>
      <c r="I15" s="70"/>
    </row>
    <row r="16" spans="2:9" s="32" customFormat="1" ht="25" customHeight="1" x14ac:dyDescent="0.2">
      <c r="B16" s="75"/>
      <c r="C16" s="42">
        <f t="array" ref="C16:I16">DaysAndWeeks+DATE(CalendarYear,6,1)-WEEKDAY(DATE(CalendarYear,6,1),(WeekStart="M")+1)+36</f>
        <v>45844</v>
      </c>
      <c r="D16" s="35">
        <v>45845</v>
      </c>
      <c r="E16" s="35">
        <v>45846</v>
      </c>
      <c r="F16" s="35">
        <v>45847</v>
      </c>
      <c r="G16" s="35">
        <v>45848</v>
      </c>
      <c r="H16" s="35">
        <v>45849</v>
      </c>
      <c r="I16" s="69">
        <v>45850</v>
      </c>
    </row>
    <row r="17" spans="2:9" s="32" customFormat="1" ht="75" customHeight="1" x14ac:dyDescent="0.2">
      <c r="B17" s="75"/>
      <c r="C17" s="71"/>
      <c r="D17" s="62"/>
      <c r="E17" s="62"/>
      <c r="F17" s="62"/>
      <c r="G17" s="62"/>
      <c r="H17" s="62"/>
      <c r="I17" s="72"/>
    </row>
    <row r="18" spans="2:9" ht="125" customHeight="1" thickBot="1" x14ac:dyDescent="0.2">
      <c r="B18" s="74"/>
      <c r="C18" s="171" t="s">
        <v>5</v>
      </c>
      <c r="D18" s="172"/>
      <c r="E18" s="172"/>
      <c r="F18" s="172"/>
      <c r="G18" s="172"/>
      <c r="H18" s="172"/>
      <c r="I18" s="17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4 D15 H15:I15 C16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15" sqref="C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9"/>
      <c r="D1" s="79"/>
      <c r="E1" s="79"/>
      <c r="F1" s="79"/>
      <c r="G1" s="79"/>
      <c r="H1" s="79"/>
      <c r="I1" s="79"/>
    </row>
    <row r="2" spans="2:9" ht="75" customHeight="1" thickTop="1" x14ac:dyDescent="0.15">
      <c r="B2" s="74"/>
      <c r="C2" s="163" t="s">
        <v>39</v>
      </c>
      <c r="D2" s="164"/>
      <c r="E2" s="164"/>
      <c r="F2" s="164"/>
      <c r="G2" s="164"/>
      <c r="H2" s="164"/>
      <c r="I2" s="165"/>
    </row>
    <row r="3" spans="2:9" ht="20" customHeight="1" x14ac:dyDescent="0.3">
      <c r="B3" s="74"/>
      <c r="C3" s="58"/>
      <c r="D3" s="59"/>
      <c r="E3" s="59"/>
      <c r="F3" s="60"/>
      <c r="G3" s="17" t="s">
        <v>21</v>
      </c>
      <c r="H3" s="17" t="s">
        <v>22</v>
      </c>
      <c r="I3" s="78"/>
    </row>
    <row r="4" spans="2:9" ht="75" customHeight="1" x14ac:dyDescent="0.65">
      <c r="B4" s="74"/>
      <c r="C4" s="131">
        <f>CalendarYear</f>
        <v>2025</v>
      </c>
      <c r="D4" s="170" t="s">
        <v>23</v>
      </c>
      <c r="E4" s="170"/>
      <c r="F4" s="170"/>
      <c r="G4" s="170"/>
      <c r="H4" s="170"/>
      <c r="I4" s="132"/>
    </row>
    <row r="5" spans="2:9" ht="35" customHeight="1" x14ac:dyDescent="0.15">
      <c r="B5" s="74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4" customFormat="1" ht="25" customHeight="1" x14ac:dyDescent="0.2">
      <c r="B6" s="77"/>
      <c r="C6" s="42">
        <f t="array" ref="C6:I6">DaysAndWeeks+DATE(CalendarYear,7,1)-WEEKDAY(DATE(CalendarYear,7,1),(WeekStart="M")+1)+1</f>
        <v>45837</v>
      </c>
      <c r="D6" s="35">
        <v>45838</v>
      </c>
      <c r="E6" s="35">
        <v>45839</v>
      </c>
      <c r="F6" s="63">
        <v>45840</v>
      </c>
      <c r="G6" s="35">
        <v>45841</v>
      </c>
      <c r="H6" s="35">
        <v>45842</v>
      </c>
      <c r="I6" s="67">
        <v>45843</v>
      </c>
    </row>
    <row r="7" spans="2:9" s="53" customFormat="1" ht="75" customHeight="1" x14ac:dyDescent="0.15">
      <c r="B7" s="82"/>
      <c r="C7" s="56"/>
      <c r="D7" s="54"/>
      <c r="E7" s="54"/>
      <c r="F7" s="97"/>
      <c r="G7" s="127"/>
      <c r="H7" s="54"/>
      <c r="I7" s="83"/>
    </row>
    <row r="8" spans="2:9" s="34" customFormat="1" ht="25" customHeight="1" x14ac:dyDescent="0.2">
      <c r="B8" s="77"/>
      <c r="C8" s="36">
        <f t="array" ref="C8:I8">DaysAndWeeks+DATE(CalendarYear,7,1)-WEEKDAY(DATE(CalendarYear,7,1),(WeekStart="M")+1)+8</f>
        <v>45844</v>
      </c>
      <c r="D8" s="33">
        <v>45845</v>
      </c>
      <c r="E8" s="33">
        <v>45846</v>
      </c>
      <c r="F8" s="33">
        <v>45847</v>
      </c>
      <c r="G8" s="33">
        <v>45848</v>
      </c>
      <c r="H8" s="33">
        <v>45849</v>
      </c>
      <c r="I8" s="67">
        <v>45850</v>
      </c>
    </row>
    <row r="9" spans="2:9" s="53" customFormat="1" ht="75" customHeight="1" x14ac:dyDescent="0.15">
      <c r="B9" s="82"/>
      <c r="C9" s="122"/>
      <c r="D9" s="122">
        <v>0.625</v>
      </c>
      <c r="E9" s="122">
        <v>0.625</v>
      </c>
      <c r="F9" s="122"/>
      <c r="G9" s="122"/>
      <c r="H9" s="122"/>
      <c r="I9" s="122">
        <v>0.625</v>
      </c>
    </row>
    <row r="10" spans="2:9" s="34" customFormat="1" ht="25" customHeight="1" x14ac:dyDescent="0.2">
      <c r="B10" s="77"/>
      <c r="C10" s="36">
        <f t="array" ref="C10:I10">DaysAndWeeks+DATE(CalendarYear,7,1)-WEEKDAY(DATE(CalendarYear,7,1),(WeekStart="M")+1)+15</f>
        <v>45851</v>
      </c>
      <c r="D10" s="33">
        <v>45852</v>
      </c>
      <c r="E10" s="33">
        <v>45853</v>
      </c>
      <c r="F10" s="33">
        <v>45854</v>
      </c>
      <c r="G10" s="33">
        <v>45855</v>
      </c>
      <c r="H10" s="33">
        <v>45856</v>
      </c>
      <c r="I10" s="67">
        <v>45857</v>
      </c>
    </row>
    <row r="11" spans="2:9" s="53" customFormat="1" ht="75" customHeight="1" x14ac:dyDescent="0.15">
      <c r="B11" s="82"/>
      <c r="C11" s="122">
        <v>0.625</v>
      </c>
      <c r="D11" s="125"/>
      <c r="E11" s="122"/>
      <c r="F11" s="122"/>
      <c r="G11" s="122">
        <v>0.625</v>
      </c>
      <c r="H11" s="122">
        <v>0.625</v>
      </c>
      <c r="I11" s="83"/>
    </row>
    <row r="12" spans="2:9" s="34" customFormat="1" ht="25" customHeight="1" x14ac:dyDescent="0.2">
      <c r="B12" s="77"/>
      <c r="C12" s="36">
        <f t="array" ref="C12:I12">DaysAndWeeks+DATE(CalendarYear,7,1)-WEEKDAY(DATE(CalendarYear,7,1),(WeekStart="M")+1)+22</f>
        <v>45858</v>
      </c>
      <c r="D12" s="33">
        <v>45859</v>
      </c>
      <c r="E12" s="33">
        <v>45860</v>
      </c>
      <c r="F12" s="33">
        <v>45861</v>
      </c>
      <c r="G12" s="33">
        <v>45862</v>
      </c>
      <c r="H12" s="33">
        <v>45863</v>
      </c>
      <c r="I12" s="67">
        <v>45864</v>
      </c>
    </row>
    <row r="13" spans="2:9" s="53" customFormat="1" ht="75" customHeight="1" x14ac:dyDescent="0.15">
      <c r="B13" s="82"/>
      <c r="C13" s="122"/>
      <c r="D13" s="122"/>
      <c r="E13" s="122">
        <v>0.625</v>
      </c>
      <c r="F13" s="122">
        <v>0.625</v>
      </c>
      <c r="G13" s="122"/>
      <c r="H13" s="122"/>
      <c r="I13" s="83"/>
    </row>
    <row r="14" spans="2:9" s="32" customFormat="1" ht="25" customHeight="1" x14ac:dyDescent="0.2">
      <c r="B14" s="75"/>
      <c r="C14" s="36">
        <f t="array" ref="C14:I14">DaysAndWeeks+DATE(CalendarYear,7,1)-WEEKDAY(DATE(CalendarYear,7,1),(WeekStart="M")+1)+29</f>
        <v>45865</v>
      </c>
      <c r="D14" s="33">
        <v>45866</v>
      </c>
      <c r="E14" s="33">
        <v>45867</v>
      </c>
      <c r="F14" s="33">
        <v>45868</v>
      </c>
      <c r="G14" s="33">
        <v>45869</v>
      </c>
      <c r="H14" s="33">
        <v>45870</v>
      </c>
      <c r="I14" s="67">
        <v>45871</v>
      </c>
    </row>
    <row r="15" spans="2:9" s="53" customFormat="1" ht="75" customHeight="1" x14ac:dyDescent="0.15">
      <c r="B15" s="82"/>
      <c r="C15" s="122">
        <v>0.625</v>
      </c>
      <c r="D15" s="122">
        <v>0.625</v>
      </c>
      <c r="E15" s="122"/>
      <c r="F15" s="122"/>
      <c r="G15" s="122"/>
      <c r="H15" s="122">
        <v>0.625</v>
      </c>
      <c r="I15" s="122">
        <v>0.625</v>
      </c>
    </row>
    <row r="16" spans="2:9" s="34" customFormat="1" ht="25" customHeight="1" x14ac:dyDescent="0.2">
      <c r="B16" s="77"/>
      <c r="C16" s="36">
        <f t="array" ref="C16:I16">DaysAndWeeks+DATE(CalendarYear,7,1)-WEEKDAY(DATE(CalendarYear,7,1),(WeekStart="M")+1)+36</f>
        <v>45872</v>
      </c>
      <c r="D16" s="110">
        <v>45873</v>
      </c>
      <c r="E16" s="35">
        <v>45874</v>
      </c>
      <c r="F16" s="35">
        <v>45875</v>
      </c>
      <c r="G16" s="35">
        <v>45876</v>
      </c>
      <c r="H16" s="35">
        <v>45877</v>
      </c>
      <c r="I16" s="69">
        <v>45878</v>
      </c>
    </row>
    <row r="17" spans="2:9" s="53" customFormat="1" ht="75" customHeight="1" x14ac:dyDescent="0.15">
      <c r="B17" s="82"/>
      <c r="C17" s="122"/>
      <c r="D17" s="122"/>
      <c r="E17" s="54"/>
      <c r="F17" s="54"/>
      <c r="G17" s="54"/>
      <c r="H17" s="54"/>
      <c r="I17" s="89"/>
    </row>
    <row r="18" spans="2:9" ht="125" customHeight="1" thickBot="1" x14ac:dyDescent="0.2">
      <c r="B18" s="74"/>
      <c r="C18" s="166" t="s">
        <v>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F15 C16:I16 D17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D11" sqref="D11"/>
    </sheetView>
  </sheetViews>
  <sheetFormatPr baseColWidth="10" defaultColWidth="8.625" defaultRowHeight="17" x14ac:dyDescent="0.15"/>
  <cols>
    <col min="1" max="2" width="2.625" style="32" customWidth="1"/>
    <col min="3" max="9" width="24.375" style="32" customWidth="1"/>
    <col min="10" max="16384" width="8.625" style="32"/>
  </cols>
  <sheetData>
    <row r="1" spans="2:9" ht="15" customHeight="1" thickBot="1" x14ac:dyDescent="0.2"/>
    <row r="2" spans="2:9" ht="75" customHeight="1" thickTop="1" x14ac:dyDescent="0.15">
      <c r="B2" s="75"/>
      <c r="C2" s="163" t="s">
        <v>39</v>
      </c>
      <c r="D2" s="164"/>
      <c r="E2" s="164"/>
      <c r="F2" s="164"/>
      <c r="G2" s="164"/>
      <c r="H2" s="164"/>
      <c r="I2" s="165"/>
    </row>
    <row r="3" spans="2:9" ht="20" customHeight="1" x14ac:dyDescent="0.2">
      <c r="B3" s="75"/>
      <c r="C3" s="98"/>
      <c r="D3" s="99"/>
      <c r="E3" s="99"/>
      <c r="F3" s="100"/>
      <c r="G3" s="48" t="s">
        <v>24</v>
      </c>
      <c r="H3" s="48" t="s">
        <v>25</v>
      </c>
      <c r="I3" s="106"/>
    </row>
    <row r="4" spans="2:9" ht="75" customHeight="1" x14ac:dyDescent="0.65">
      <c r="B4" s="75"/>
      <c r="C4" s="131">
        <f>CalendarYear</f>
        <v>2025</v>
      </c>
      <c r="D4" s="170" t="s">
        <v>26</v>
      </c>
      <c r="E4" s="170"/>
      <c r="F4" s="170"/>
      <c r="G4" s="170"/>
      <c r="H4" s="170"/>
      <c r="I4" s="132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101" customFormat="1" ht="25" customHeight="1" x14ac:dyDescent="0.2">
      <c r="B6" s="104"/>
      <c r="C6" s="103">
        <f t="array" ref="C6:I6">DaysAndWeeks+DATE(CalendarYear,8,1)-WEEKDAY(DATE(CalendarYear,8,1),(WeekStart="M")+1)+1</f>
        <v>45865</v>
      </c>
      <c r="D6" s="103">
        <v>45866</v>
      </c>
      <c r="E6" s="61">
        <v>45867</v>
      </c>
      <c r="F6" s="61">
        <v>45868</v>
      </c>
      <c r="G6" s="61">
        <v>45869</v>
      </c>
      <c r="H6" s="61">
        <v>45870</v>
      </c>
      <c r="I6" s="105">
        <v>45871</v>
      </c>
    </row>
    <row r="7" spans="2:9" s="65" customFormat="1" ht="75" customHeight="1" x14ac:dyDescent="0.15">
      <c r="B7" s="76"/>
      <c r="C7" s="128">
        <v>0.625</v>
      </c>
      <c r="D7" s="128"/>
      <c r="E7" s="122"/>
      <c r="F7" s="119">
        <v>0.625</v>
      </c>
      <c r="G7" s="119">
        <v>0.625</v>
      </c>
      <c r="H7" s="119"/>
      <c r="I7" s="68"/>
    </row>
    <row r="8" spans="2:9" ht="25" customHeight="1" x14ac:dyDescent="0.2">
      <c r="B8" s="75"/>
      <c r="C8" s="36">
        <f t="array" ref="C8:I8">DaysAndWeeks+DATE(CalendarYear,8,1)-WEEKDAY(DATE(CalendarYear,8,1),(WeekStart="M")+1)+8</f>
        <v>45872</v>
      </c>
      <c r="D8" s="110">
        <v>45873</v>
      </c>
      <c r="E8" s="33">
        <v>45874</v>
      </c>
      <c r="F8" s="33">
        <v>45875</v>
      </c>
      <c r="G8" s="33">
        <v>45876</v>
      </c>
      <c r="H8" s="33">
        <v>45877</v>
      </c>
      <c r="I8" s="67">
        <v>45878</v>
      </c>
    </row>
    <row r="9" spans="2:9" s="65" customFormat="1" ht="75" customHeight="1" x14ac:dyDescent="0.15">
      <c r="B9" s="76"/>
      <c r="C9" s="119"/>
      <c r="D9" s="119">
        <v>0.625</v>
      </c>
      <c r="E9" s="119">
        <v>0.625</v>
      </c>
      <c r="F9" s="119"/>
      <c r="G9" s="119"/>
      <c r="H9" s="119"/>
      <c r="I9" s="119">
        <v>0.625</v>
      </c>
    </row>
    <row r="10" spans="2:9" ht="25" customHeight="1" x14ac:dyDescent="0.2">
      <c r="B10" s="75"/>
      <c r="C10" s="36">
        <f t="array" ref="C10:I10">DaysAndWeeks+DATE(CalendarYear,8,1)-WEEKDAY(DATE(CalendarYear,8,1),(WeekStart="M")+1)+15</f>
        <v>45879</v>
      </c>
      <c r="D10" s="110">
        <v>45880</v>
      </c>
      <c r="E10" s="33">
        <v>45881</v>
      </c>
      <c r="F10" s="33">
        <v>45882</v>
      </c>
      <c r="G10" s="33">
        <v>45883</v>
      </c>
      <c r="H10" s="33">
        <v>45884</v>
      </c>
      <c r="I10" s="67">
        <v>45885</v>
      </c>
    </row>
    <row r="11" spans="2:9" s="65" customFormat="1" ht="75" customHeight="1" x14ac:dyDescent="0.15">
      <c r="B11" s="76"/>
      <c r="C11" s="119">
        <v>0.625</v>
      </c>
      <c r="D11" s="119"/>
      <c r="E11" s="122"/>
      <c r="F11" s="119"/>
      <c r="G11" s="119">
        <v>0.625</v>
      </c>
      <c r="H11" s="119">
        <v>0.625</v>
      </c>
      <c r="I11" s="68"/>
    </row>
    <row r="12" spans="2:9" ht="25" customHeight="1" x14ac:dyDescent="0.2">
      <c r="B12" s="75"/>
      <c r="C12" s="36">
        <f t="array" ref="C12:I12">DaysAndWeeks+DATE(CalendarYear,8,1)-WEEKDAY(DATE(CalendarYear,8,1),(WeekStart="M")+1)+22</f>
        <v>45886</v>
      </c>
      <c r="D12" s="110">
        <v>45887</v>
      </c>
      <c r="E12" s="33">
        <v>45888</v>
      </c>
      <c r="F12" s="33">
        <v>45889</v>
      </c>
      <c r="G12" s="33">
        <v>45890</v>
      </c>
      <c r="H12" s="33">
        <v>45891</v>
      </c>
      <c r="I12" s="67">
        <v>45892</v>
      </c>
    </row>
    <row r="13" spans="2:9" s="65" customFormat="1" ht="75" customHeight="1" x14ac:dyDescent="0.15">
      <c r="B13" s="76"/>
      <c r="C13" s="119"/>
      <c r="D13" s="126"/>
      <c r="E13" s="119">
        <v>0.625</v>
      </c>
      <c r="F13" s="119">
        <v>0.625</v>
      </c>
      <c r="G13" s="119"/>
      <c r="H13" s="119"/>
      <c r="I13" s="68"/>
    </row>
    <row r="14" spans="2:9" ht="25" customHeight="1" x14ac:dyDescent="0.2">
      <c r="B14" s="75"/>
      <c r="C14" s="36">
        <f t="array" ref="C14:I14">DaysAndWeeks+DATE(CalendarYear,8,1)-WEEKDAY(DATE(CalendarYear,8,1),(WeekStart="M")+1)+29</f>
        <v>45893</v>
      </c>
      <c r="D14" s="33">
        <v>45894</v>
      </c>
      <c r="E14" s="33">
        <v>45895</v>
      </c>
      <c r="F14" s="33">
        <v>45896</v>
      </c>
      <c r="G14" s="110">
        <v>45897</v>
      </c>
      <c r="H14" s="35">
        <v>45898</v>
      </c>
      <c r="I14" s="69">
        <v>45899</v>
      </c>
    </row>
    <row r="15" spans="2:9" s="65" customFormat="1" ht="75" customHeight="1" x14ac:dyDescent="0.15">
      <c r="B15" s="76"/>
      <c r="C15" s="119">
        <v>0.625</v>
      </c>
      <c r="D15" s="119">
        <v>0.625</v>
      </c>
      <c r="E15" s="122"/>
      <c r="F15" s="119"/>
      <c r="G15" s="122"/>
      <c r="H15" s="64"/>
      <c r="I15" s="70"/>
    </row>
    <row r="16" spans="2:9" ht="25" customHeight="1" x14ac:dyDescent="0.2">
      <c r="B16" s="75"/>
      <c r="C16" s="42">
        <f t="array" ref="C16:I16">DaysAndWeeks+DATE(CalendarYear,8,1)-WEEKDAY(DATE(CalendarYear,8,1),(WeekStart="M")+1)+36</f>
        <v>45900</v>
      </c>
      <c r="D16" s="35">
        <v>45901</v>
      </c>
      <c r="E16" s="35">
        <v>45902</v>
      </c>
      <c r="F16" s="35">
        <v>45903</v>
      </c>
      <c r="G16" s="35">
        <v>45904</v>
      </c>
      <c r="H16" s="35">
        <v>45905</v>
      </c>
      <c r="I16" s="69">
        <v>45906</v>
      </c>
    </row>
    <row r="17" spans="2:9" s="65" customFormat="1" ht="75" customHeight="1" x14ac:dyDescent="0.15">
      <c r="B17" s="76"/>
      <c r="C17" s="66"/>
      <c r="D17" s="64"/>
      <c r="E17" s="64"/>
      <c r="F17" s="64"/>
      <c r="G17" s="64"/>
      <c r="H17" s="64"/>
      <c r="I17" s="70"/>
    </row>
    <row r="18" spans="2:9" s="1" customFormat="1" ht="125" customHeight="1" thickBot="1" x14ac:dyDescent="0.2">
      <c r="B18" s="74"/>
      <c r="C18" s="166" t="s">
        <v>5</v>
      </c>
      <c r="D18" s="167"/>
      <c r="E18" s="167"/>
      <c r="F18" s="167"/>
      <c r="G18" s="167"/>
      <c r="H18" s="167"/>
      <c r="I18" s="168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4 F15 H15:I15 C16: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13" sqref="K13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9"/>
      <c r="D1" s="79"/>
      <c r="E1" s="79"/>
      <c r="F1" s="79"/>
      <c r="G1" s="79"/>
      <c r="H1" s="79"/>
      <c r="I1" s="79"/>
    </row>
    <row r="2" spans="2:9" ht="75" customHeight="1" thickTop="1" x14ac:dyDescent="0.15">
      <c r="B2" s="74"/>
      <c r="C2" s="163" t="s">
        <v>39</v>
      </c>
      <c r="D2" s="164"/>
      <c r="E2" s="164"/>
      <c r="F2" s="164"/>
      <c r="G2" s="164"/>
      <c r="H2" s="164"/>
      <c r="I2" s="165"/>
    </row>
    <row r="3" spans="2:9" ht="20" customHeight="1" x14ac:dyDescent="0.3">
      <c r="B3" s="74"/>
      <c r="C3" s="58"/>
      <c r="D3" s="59"/>
      <c r="E3" s="59"/>
      <c r="F3" s="60"/>
      <c r="G3" s="17" t="s">
        <v>27</v>
      </c>
      <c r="H3" s="17" t="s">
        <v>28</v>
      </c>
      <c r="I3" s="78"/>
    </row>
    <row r="4" spans="2:9" ht="75" customHeight="1" x14ac:dyDescent="0.65">
      <c r="B4" s="74"/>
      <c r="C4" s="131">
        <f>CalendarYear</f>
        <v>2025</v>
      </c>
      <c r="D4" s="175" t="s">
        <v>29</v>
      </c>
      <c r="E4" s="175"/>
      <c r="F4" s="175"/>
      <c r="G4" s="175"/>
      <c r="H4" s="175"/>
      <c r="I4" s="130"/>
    </row>
    <row r="5" spans="2:9" ht="35" customHeight="1" x14ac:dyDescent="0.15">
      <c r="B5" s="74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4" customFormat="1" ht="25" customHeight="1" x14ac:dyDescent="0.2">
      <c r="B6" s="77"/>
      <c r="C6" s="42">
        <f t="array" ref="C6:I6">DaysAndWeeks+DATE(CalendarYear,9,1)-WEEKDAY(DATE(CalendarYear,9,1),(WeekStart="M")+1)+1</f>
        <v>45900</v>
      </c>
      <c r="D6" s="35">
        <v>45901</v>
      </c>
      <c r="E6" s="35">
        <v>45902</v>
      </c>
      <c r="F6" s="35">
        <v>45903</v>
      </c>
      <c r="G6" s="35">
        <v>45904</v>
      </c>
      <c r="H6" s="33">
        <v>45905</v>
      </c>
      <c r="I6" s="67">
        <v>45906</v>
      </c>
    </row>
    <row r="7" spans="2:9" s="53" customFormat="1" ht="75" customHeight="1" x14ac:dyDescent="0.15">
      <c r="B7" s="82"/>
      <c r="C7" s="56"/>
      <c r="D7" s="54"/>
      <c r="E7" s="54"/>
      <c r="F7" s="54"/>
      <c r="G7" s="127"/>
      <c r="H7" s="119">
        <v>0.625</v>
      </c>
      <c r="I7" s="119">
        <v>0.625</v>
      </c>
    </row>
    <row r="8" spans="2:9" s="34" customFormat="1" ht="25" customHeight="1" x14ac:dyDescent="0.2">
      <c r="B8" s="77"/>
      <c r="C8" s="36">
        <f t="array" ref="C8:I8">DaysAndWeeks+DATE(CalendarYear,9,1)-WEEKDAY(DATE(CalendarYear,9,1),(WeekStart="M")+1)+8</f>
        <v>45907</v>
      </c>
      <c r="D8" s="33">
        <v>45908</v>
      </c>
      <c r="E8" s="33">
        <v>45909</v>
      </c>
      <c r="F8" s="33">
        <v>45910</v>
      </c>
      <c r="G8" s="33">
        <v>45911</v>
      </c>
      <c r="H8" s="33">
        <v>45912</v>
      </c>
      <c r="I8" s="67">
        <v>45913</v>
      </c>
    </row>
    <row r="9" spans="2:9" s="53" customFormat="1" ht="75" customHeight="1" x14ac:dyDescent="0.15">
      <c r="B9" s="82"/>
      <c r="C9" s="157"/>
      <c r="D9" s="125"/>
      <c r="E9" s="122"/>
      <c r="F9" s="119">
        <v>0.625</v>
      </c>
      <c r="G9" s="157">
        <v>0.625</v>
      </c>
      <c r="H9" s="157"/>
      <c r="I9" s="83"/>
    </row>
    <row r="10" spans="2:9" s="34" customFormat="1" ht="25" customHeight="1" x14ac:dyDescent="0.2">
      <c r="B10" s="77"/>
      <c r="C10" s="36">
        <f t="array" ref="C10:I10">DaysAndWeeks+DATE(CalendarYear,9,1)-WEEKDAY(DATE(CalendarYear,9,1),(WeekStart="M")+1)+15</f>
        <v>45914</v>
      </c>
      <c r="D10" s="33">
        <v>45915</v>
      </c>
      <c r="E10" s="33">
        <v>45916</v>
      </c>
      <c r="F10" s="33">
        <v>45917</v>
      </c>
      <c r="G10" s="33">
        <v>45918</v>
      </c>
      <c r="H10" s="33">
        <v>45919</v>
      </c>
      <c r="I10" s="67">
        <v>45920</v>
      </c>
    </row>
    <row r="11" spans="2:9" s="53" customFormat="1" ht="75" customHeight="1" x14ac:dyDescent="0.15">
      <c r="B11" s="82"/>
      <c r="C11" s="157"/>
      <c r="D11" s="119">
        <v>0.625</v>
      </c>
      <c r="E11" s="119">
        <v>0.625</v>
      </c>
      <c r="F11" s="157"/>
      <c r="G11" s="122"/>
      <c r="H11" s="122"/>
      <c r="I11" s="119">
        <v>0.625</v>
      </c>
    </row>
    <row r="12" spans="2:9" s="34" customFormat="1" ht="25" customHeight="1" x14ac:dyDescent="0.2">
      <c r="B12" s="77"/>
      <c r="C12" s="36">
        <f t="array" ref="C12:I12">DaysAndWeeks+DATE(CalendarYear,9,1)-WEEKDAY(DATE(CalendarYear,9,1),(WeekStart="M")+1)+22</f>
        <v>45921</v>
      </c>
      <c r="D12" s="33">
        <v>45922</v>
      </c>
      <c r="E12" s="33">
        <v>45923</v>
      </c>
      <c r="F12" s="33">
        <v>45924</v>
      </c>
      <c r="G12" s="33">
        <v>45925</v>
      </c>
      <c r="H12" s="33">
        <v>45926</v>
      </c>
      <c r="I12" s="67">
        <v>45927</v>
      </c>
    </row>
    <row r="13" spans="2:9" s="53" customFormat="1" ht="75" customHeight="1" x14ac:dyDescent="0.15">
      <c r="B13" s="82"/>
      <c r="C13" s="119">
        <v>0.625</v>
      </c>
      <c r="D13" s="125"/>
      <c r="E13" s="122"/>
      <c r="F13" s="157"/>
      <c r="G13" s="157">
        <v>0.625</v>
      </c>
      <c r="H13" s="119">
        <v>0.625</v>
      </c>
      <c r="I13" s="83"/>
    </row>
    <row r="14" spans="2:9" s="34" customFormat="1" ht="25" customHeight="1" x14ac:dyDescent="0.2">
      <c r="B14" s="77"/>
      <c r="C14" s="36">
        <f t="array" ref="C14:I14">DaysAndWeeks+DATE(CalendarYear,9,1)-WEEKDAY(DATE(CalendarYear,9,1),(WeekStart="M")+1)+29</f>
        <v>45928</v>
      </c>
      <c r="D14" s="33">
        <v>45929</v>
      </c>
      <c r="E14" s="33">
        <v>45930</v>
      </c>
      <c r="F14" s="33">
        <v>45931</v>
      </c>
      <c r="G14" s="33">
        <v>45932</v>
      </c>
      <c r="H14" s="33">
        <v>45933</v>
      </c>
      <c r="I14" s="148">
        <v>45934</v>
      </c>
    </row>
    <row r="15" spans="2:9" s="53" customFormat="1" ht="75" customHeight="1" x14ac:dyDescent="0.15">
      <c r="B15" s="82"/>
      <c r="C15" s="157"/>
      <c r="D15" s="122"/>
      <c r="E15" s="119">
        <v>0.625</v>
      </c>
      <c r="F15" s="119">
        <v>0.625</v>
      </c>
      <c r="G15" s="122"/>
      <c r="H15" s="122"/>
      <c r="I15" s="147"/>
    </row>
    <row r="16" spans="2:9" s="34" customFormat="1" ht="25" customHeight="1" x14ac:dyDescent="0.2">
      <c r="B16" s="77"/>
      <c r="C16" s="42">
        <f t="array" ref="C16:I16">DaysAndWeeks+DATE(CalendarYear,9,1)-WEEKDAY(DATE(CalendarYear,9,1),(WeekStart="M")+1)+36</f>
        <v>45935</v>
      </c>
      <c r="D16" s="35">
        <v>45936</v>
      </c>
      <c r="E16" s="35">
        <v>45937</v>
      </c>
      <c r="F16" s="35">
        <v>45938</v>
      </c>
      <c r="G16" s="35">
        <v>45939</v>
      </c>
      <c r="H16" s="35">
        <v>45940</v>
      </c>
      <c r="I16" s="69">
        <v>45941</v>
      </c>
    </row>
    <row r="17" spans="2:9" s="53" customFormat="1" ht="75" customHeight="1" x14ac:dyDescent="0.15">
      <c r="B17" s="82"/>
      <c r="C17" s="56"/>
      <c r="D17" s="54"/>
      <c r="E17" s="54"/>
      <c r="F17" s="54"/>
      <c r="G17" s="54"/>
      <c r="H17" s="54"/>
      <c r="I17" s="89"/>
    </row>
    <row r="18" spans="2:9" ht="125" customHeight="1" thickBot="1" x14ac:dyDescent="0.2">
      <c r="B18" s="74"/>
      <c r="C18" s="166" t="s">
        <v>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4 D15 H15:I15 C16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="89" zoomScaleNormal="100" workbookViewId="0">
      <pane ySplit="5" topLeftCell="A6" activePane="bottomLeft" state="frozen"/>
      <selection pane="bottomLeft" activeCell="G15" sqref="G15"/>
    </sheetView>
  </sheetViews>
  <sheetFormatPr baseColWidth="10" defaultColWidth="8.625" defaultRowHeight="17" x14ac:dyDescent="0.15"/>
  <cols>
    <col min="1" max="2" width="2.625" style="32" customWidth="1"/>
    <col min="3" max="9" width="24.375" style="32" customWidth="1"/>
    <col min="10" max="16384" width="8.625" style="32"/>
  </cols>
  <sheetData>
    <row r="1" spans="2:9" ht="15" customHeight="1" thickBot="1" x14ac:dyDescent="0.2">
      <c r="C1" s="109"/>
      <c r="D1" s="109"/>
      <c r="E1" s="109"/>
      <c r="F1" s="109"/>
      <c r="G1" s="109"/>
      <c r="H1" s="109"/>
      <c r="I1" s="109"/>
    </row>
    <row r="2" spans="2:9" ht="75" customHeight="1" thickTop="1" x14ac:dyDescent="0.15">
      <c r="B2" s="75"/>
      <c r="C2" s="163" t="s">
        <v>39</v>
      </c>
      <c r="D2" s="164"/>
      <c r="E2" s="164"/>
      <c r="F2" s="164"/>
      <c r="G2" s="164"/>
      <c r="H2" s="164"/>
      <c r="I2" s="165"/>
    </row>
    <row r="3" spans="2:9" ht="20" customHeight="1" x14ac:dyDescent="0.2">
      <c r="B3" s="75"/>
      <c r="C3" s="98"/>
      <c r="D3" s="99"/>
      <c r="E3" s="99"/>
      <c r="F3" s="100"/>
      <c r="G3" s="17" t="s">
        <v>30</v>
      </c>
      <c r="H3" s="17" t="s">
        <v>31</v>
      </c>
      <c r="I3" s="106"/>
    </row>
    <row r="4" spans="2:9" ht="75" customHeight="1" x14ac:dyDescent="0.65">
      <c r="B4" s="75"/>
      <c r="C4" s="131">
        <f>CalendarYear</f>
        <v>2025</v>
      </c>
      <c r="D4" s="175" t="s">
        <v>32</v>
      </c>
      <c r="E4" s="175"/>
      <c r="F4" s="175"/>
      <c r="G4" s="175"/>
      <c r="H4" s="175"/>
      <c r="I4" s="130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ht="25" customHeight="1" x14ac:dyDescent="0.2">
      <c r="B6" s="75"/>
      <c r="C6" s="113">
        <f t="array" ref="C6:I6">DaysAndWeeks+DATE(CalendarYear,10,1)-WEEKDAY(DATE(CalendarYear,10,1),(WeekStart="M")+1)+1</f>
        <v>45928</v>
      </c>
      <c r="D6" s="110">
        <v>45929</v>
      </c>
      <c r="E6" s="110">
        <v>45930</v>
      </c>
      <c r="F6" s="110">
        <v>45931</v>
      </c>
      <c r="G6" s="110">
        <v>45932</v>
      </c>
      <c r="H6" s="110">
        <v>45933</v>
      </c>
      <c r="I6" s="67">
        <v>45934</v>
      </c>
    </row>
    <row r="7" spans="2:9" s="65" customFormat="1" ht="75" customHeight="1" x14ac:dyDescent="0.15">
      <c r="B7" s="76"/>
      <c r="C7" s="119">
        <v>0.625</v>
      </c>
      <c r="D7" s="119">
        <v>0.625</v>
      </c>
      <c r="E7" s="119"/>
      <c r="F7" s="119"/>
      <c r="G7" s="119"/>
      <c r="H7" s="119">
        <v>0.625</v>
      </c>
      <c r="I7" s="119">
        <v>0.625</v>
      </c>
    </row>
    <row r="8" spans="2:9" ht="25" customHeight="1" x14ac:dyDescent="0.2">
      <c r="B8" s="75"/>
      <c r="C8" s="36">
        <f t="array" ref="C8:I8">DaysAndWeeks+DATE(CalendarYear,10,1)-WEEKDAY(DATE(CalendarYear,10,1),(WeekStart="M")+1)+8</f>
        <v>45935</v>
      </c>
      <c r="D8" s="33">
        <v>45936</v>
      </c>
      <c r="E8" s="33">
        <v>45937</v>
      </c>
      <c r="F8" s="33">
        <v>45938</v>
      </c>
      <c r="G8" s="33">
        <v>45939</v>
      </c>
      <c r="H8" s="33">
        <v>45940</v>
      </c>
      <c r="I8" s="67">
        <v>45941</v>
      </c>
    </row>
    <row r="9" spans="2:9" s="65" customFormat="1" ht="75" customHeight="1" x14ac:dyDescent="0.15">
      <c r="B9" s="76"/>
      <c r="C9" s="119"/>
      <c r="D9" s="119"/>
      <c r="E9" s="119"/>
      <c r="F9" s="119">
        <v>0.625</v>
      </c>
      <c r="G9" s="119">
        <v>0.625</v>
      </c>
      <c r="H9" s="119"/>
      <c r="I9" s="68"/>
    </row>
    <row r="10" spans="2:9" ht="25" customHeight="1" x14ac:dyDescent="0.2">
      <c r="B10" s="75"/>
      <c r="C10" s="36">
        <f t="array" ref="C10:I10">DaysAndWeeks+DATE(CalendarYear,10,1)-WEEKDAY(DATE(CalendarYear,10,1),(WeekStart="M")+1)+15</f>
        <v>45942</v>
      </c>
      <c r="D10" s="33">
        <v>45943</v>
      </c>
      <c r="E10" s="33">
        <v>45944</v>
      </c>
      <c r="F10" s="33">
        <v>45945</v>
      </c>
      <c r="G10" s="33">
        <v>45946</v>
      </c>
      <c r="H10" s="33">
        <v>45947</v>
      </c>
      <c r="I10" s="67">
        <v>45948</v>
      </c>
    </row>
    <row r="11" spans="2:9" s="65" customFormat="1" ht="75" customHeight="1" x14ac:dyDescent="0.15">
      <c r="B11" s="76"/>
      <c r="C11" s="119"/>
      <c r="D11" s="119">
        <v>0.625</v>
      </c>
      <c r="E11" s="119">
        <v>0.625</v>
      </c>
      <c r="F11" s="119"/>
      <c r="G11" s="119"/>
      <c r="H11" s="119"/>
      <c r="I11" s="119">
        <v>0.625</v>
      </c>
    </row>
    <row r="12" spans="2:9" ht="25" customHeight="1" x14ac:dyDescent="0.2">
      <c r="B12" s="75"/>
      <c r="C12" s="36">
        <f t="array" ref="C12:I12">DaysAndWeeks+DATE(CalendarYear,10,1)-WEEKDAY(DATE(CalendarYear,10,1),(WeekStart="M")+1)+22</f>
        <v>45949</v>
      </c>
      <c r="D12" s="33">
        <v>45950</v>
      </c>
      <c r="E12" s="33">
        <v>45951</v>
      </c>
      <c r="F12" s="33">
        <v>45952</v>
      </c>
      <c r="G12" s="33">
        <v>45953</v>
      </c>
      <c r="H12" s="33">
        <v>45954</v>
      </c>
      <c r="I12" s="67">
        <v>45955</v>
      </c>
    </row>
    <row r="13" spans="2:9" s="65" customFormat="1" ht="75" customHeight="1" x14ac:dyDescent="0.15">
      <c r="B13" s="76"/>
      <c r="C13" s="119">
        <v>0.625</v>
      </c>
      <c r="D13" s="119"/>
      <c r="E13" s="119"/>
      <c r="F13" s="119"/>
      <c r="G13" s="119">
        <v>0.625</v>
      </c>
      <c r="H13" s="119">
        <v>0.625</v>
      </c>
      <c r="I13" s="68"/>
    </row>
    <row r="14" spans="2:9" ht="25" customHeight="1" x14ac:dyDescent="0.2">
      <c r="B14" s="75"/>
      <c r="C14" s="36">
        <f t="array" ref="C14:I14">DaysAndWeeks+DATE(CalendarYear,10,1)-WEEKDAY(DATE(CalendarYear,10,1),(WeekStart="M")+1)+29</f>
        <v>45956</v>
      </c>
      <c r="D14" s="33">
        <v>45957</v>
      </c>
      <c r="E14" s="33">
        <v>45958</v>
      </c>
      <c r="F14" s="35">
        <v>45959</v>
      </c>
      <c r="G14" s="35">
        <v>45960</v>
      </c>
      <c r="H14" s="35">
        <v>45961</v>
      </c>
      <c r="I14" s="69">
        <v>45962</v>
      </c>
    </row>
    <row r="15" spans="2:9" s="107" customFormat="1" ht="75" customHeight="1" x14ac:dyDescent="0.15">
      <c r="B15" s="108"/>
      <c r="C15" s="119"/>
      <c r="D15" s="126"/>
      <c r="E15" s="119">
        <v>0.625</v>
      </c>
      <c r="F15" s="150"/>
      <c r="G15" s="124"/>
      <c r="H15" s="151"/>
      <c r="I15" s="152"/>
    </row>
    <row r="16" spans="2:9" ht="25" customHeight="1" x14ac:dyDescent="0.2">
      <c r="B16" s="75"/>
      <c r="C16" s="42">
        <f t="array" ref="C16:I16">DaysAndWeeks+DATE(CalendarYear,10,1)-WEEKDAY(DATE(CalendarYear,10,1),(WeekStart="M")+1)+36</f>
        <v>45963</v>
      </c>
      <c r="D16" s="35">
        <v>45964</v>
      </c>
      <c r="E16" s="35">
        <v>45965</v>
      </c>
      <c r="F16" s="35">
        <v>45966</v>
      </c>
      <c r="G16" s="35">
        <v>45967</v>
      </c>
      <c r="H16" s="35">
        <v>45968</v>
      </c>
      <c r="I16" s="35">
        <v>45969</v>
      </c>
    </row>
    <row r="17" spans="2:9" s="65" customFormat="1" ht="75" customHeight="1" x14ac:dyDescent="0.15">
      <c r="B17" s="76"/>
      <c r="C17" s="149"/>
      <c r="D17" s="64"/>
      <c r="E17" s="64"/>
      <c r="F17" s="64"/>
      <c r="G17" s="64"/>
      <c r="H17" s="64"/>
      <c r="I17" s="64"/>
    </row>
    <row r="18" spans="2:9" s="1" customFormat="1" ht="125" customHeight="1" thickBot="1" x14ac:dyDescent="0.2">
      <c r="B18" s="74"/>
      <c r="C18" s="166" t="s">
        <v>5</v>
      </c>
      <c r="D18" s="167"/>
      <c r="E18" s="167"/>
      <c r="F18" s="167"/>
      <c r="G18" s="167"/>
      <c r="H18" s="167"/>
      <c r="I18" s="168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4 D15 F15:I15 C16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15" sqref="C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9"/>
      <c r="D1" s="79"/>
      <c r="E1" s="79"/>
      <c r="F1" s="79"/>
      <c r="G1" s="79"/>
      <c r="H1" s="79"/>
      <c r="I1" s="79"/>
    </row>
    <row r="2" spans="2:9" ht="75" customHeight="1" thickTop="1" x14ac:dyDescent="0.15">
      <c r="B2" s="74"/>
      <c r="C2" s="163" t="s">
        <v>39</v>
      </c>
      <c r="D2" s="164"/>
      <c r="E2" s="164"/>
      <c r="F2" s="164"/>
      <c r="G2" s="164"/>
      <c r="H2" s="164"/>
      <c r="I2" s="165"/>
    </row>
    <row r="3" spans="2:9" ht="20" customHeight="1" x14ac:dyDescent="0.3">
      <c r="B3" s="74"/>
      <c r="C3" s="58"/>
      <c r="D3" s="59"/>
      <c r="E3" s="59"/>
      <c r="F3" s="60"/>
      <c r="G3" s="17" t="s">
        <v>33</v>
      </c>
      <c r="H3" s="17" t="s">
        <v>34</v>
      </c>
      <c r="I3" s="78"/>
    </row>
    <row r="4" spans="2:9" ht="75" customHeight="1" x14ac:dyDescent="0.65">
      <c r="B4" s="74"/>
      <c r="C4" s="131">
        <f>CalendarYear</f>
        <v>2025</v>
      </c>
      <c r="D4" s="176" t="s">
        <v>35</v>
      </c>
      <c r="E4" s="176"/>
      <c r="F4" s="176"/>
      <c r="G4" s="176"/>
      <c r="H4" s="176"/>
      <c r="I4" s="130"/>
    </row>
    <row r="5" spans="2:9" ht="35" customHeight="1" x14ac:dyDescent="0.15">
      <c r="B5" s="74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 x14ac:dyDescent="0.2">
      <c r="B6" s="75"/>
      <c r="C6" s="42">
        <f t="array" ref="C6:I6">DaysAndWeeks+DATE(CalendarYear,11,1)-WEEKDAY(DATE(CalendarYear,11,1),(WeekStart="M")+1)+1</f>
        <v>45956</v>
      </c>
      <c r="D6" s="35">
        <v>45957</v>
      </c>
      <c r="E6" s="35">
        <v>45958</v>
      </c>
      <c r="F6" s="33">
        <v>45959</v>
      </c>
      <c r="G6" s="33">
        <v>45960</v>
      </c>
      <c r="H6" s="33">
        <v>45961</v>
      </c>
      <c r="I6" s="67">
        <v>45962</v>
      </c>
    </row>
    <row r="7" spans="2:9" s="65" customFormat="1" ht="75" customHeight="1" x14ac:dyDescent="0.15">
      <c r="B7" s="76"/>
      <c r="C7" s="66"/>
      <c r="D7" s="64"/>
      <c r="E7" s="135"/>
      <c r="F7" s="119">
        <v>0.625</v>
      </c>
      <c r="G7" s="119"/>
      <c r="H7" s="119"/>
      <c r="I7" s="68"/>
    </row>
    <row r="8" spans="2:9" s="32" customFormat="1" ht="25" customHeight="1" x14ac:dyDescent="0.2">
      <c r="B8" s="75"/>
      <c r="C8" s="36">
        <f t="array" ref="C8:I8">DaysAndWeeks+DATE(CalendarYear,11,1)-WEEKDAY(DATE(CalendarYear,11,1),(WeekStart="M")+1)+8</f>
        <v>45963</v>
      </c>
      <c r="D8" s="33">
        <v>45964</v>
      </c>
      <c r="E8" s="110">
        <v>45965</v>
      </c>
      <c r="F8" s="33">
        <v>45966</v>
      </c>
      <c r="G8" s="33">
        <v>45967</v>
      </c>
      <c r="H8" s="33">
        <v>45968</v>
      </c>
      <c r="I8" s="67">
        <v>45969</v>
      </c>
    </row>
    <row r="9" spans="2:9" s="65" customFormat="1" ht="75" customHeight="1" x14ac:dyDescent="0.15">
      <c r="B9" s="76"/>
      <c r="C9" s="119">
        <v>0.625</v>
      </c>
      <c r="D9" s="119">
        <v>0.625</v>
      </c>
      <c r="E9" s="119"/>
      <c r="F9" s="119"/>
      <c r="G9" s="119"/>
      <c r="H9" s="119">
        <v>0.625</v>
      </c>
      <c r="I9" s="119">
        <v>0.625</v>
      </c>
    </row>
    <row r="10" spans="2:9" s="32" customFormat="1" ht="25" customHeight="1" x14ac:dyDescent="0.2">
      <c r="B10" s="75"/>
      <c r="C10" s="36">
        <f t="array" ref="C10:I10">DaysAndWeeks+DATE(CalendarYear,11,1)-WEEKDAY(DATE(CalendarYear,11,1),(WeekStart="M")+1)+15</f>
        <v>45970</v>
      </c>
      <c r="D10" s="33">
        <v>45971</v>
      </c>
      <c r="E10" s="110">
        <v>45972</v>
      </c>
      <c r="F10" s="33">
        <v>45973</v>
      </c>
      <c r="G10" s="33">
        <v>45974</v>
      </c>
      <c r="H10" s="33">
        <v>45975</v>
      </c>
      <c r="I10" s="67">
        <v>45976</v>
      </c>
    </row>
    <row r="11" spans="2:9" s="65" customFormat="1" ht="75" customHeight="1" x14ac:dyDescent="0.15">
      <c r="B11" s="76"/>
      <c r="C11" s="119"/>
      <c r="D11" s="126"/>
      <c r="E11" s="119"/>
      <c r="F11" s="119">
        <v>0.625</v>
      </c>
      <c r="G11" s="119">
        <v>0.625</v>
      </c>
      <c r="H11" s="126"/>
      <c r="I11" s="68"/>
    </row>
    <row r="12" spans="2:9" s="32" customFormat="1" ht="25" customHeight="1" x14ac:dyDescent="0.2">
      <c r="B12" s="75"/>
      <c r="C12" s="36">
        <f t="array" ref="C12:I12">DaysAndWeeks+DATE(CalendarYear,11,1)-WEEKDAY(DATE(CalendarYear,11,1),(WeekStart="M")+1)+22</f>
        <v>45977</v>
      </c>
      <c r="D12" s="33">
        <v>45978</v>
      </c>
      <c r="E12" s="110">
        <v>45979</v>
      </c>
      <c r="F12" s="33">
        <v>45980</v>
      </c>
      <c r="G12" s="33">
        <v>45981</v>
      </c>
      <c r="H12" s="33">
        <v>45982</v>
      </c>
      <c r="I12" s="67">
        <v>45983</v>
      </c>
    </row>
    <row r="13" spans="2:9" s="65" customFormat="1" ht="75" customHeight="1" x14ac:dyDescent="0.15">
      <c r="B13" s="76"/>
      <c r="C13" s="119"/>
      <c r="D13" s="119">
        <v>0.625</v>
      </c>
      <c r="E13" s="119">
        <v>0.625</v>
      </c>
      <c r="F13" s="119"/>
      <c r="G13" s="119"/>
      <c r="H13" s="119"/>
      <c r="I13" s="119">
        <v>0.625</v>
      </c>
    </row>
    <row r="14" spans="2:9" s="32" customFormat="1" ht="25" customHeight="1" x14ac:dyDescent="0.2">
      <c r="B14" s="75"/>
      <c r="C14" s="36">
        <f t="array" ref="C14:I14">DaysAndWeeks+DATE(CalendarYear,11,1)-WEEKDAY(DATE(CalendarYear,11,1),(WeekStart="M")+1)+29</f>
        <v>45984</v>
      </c>
      <c r="D14" s="33">
        <v>45985</v>
      </c>
      <c r="E14" s="110">
        <v>45986</v>
      </c>
      <c r="F14" s="33">
        <v>45987</v>
      </c>
      <c r="G14" s="133">
        <v>45988</v>
      </c>
      <c r="H14" s="35">
        <v>45989</v>
      </c>
      <c r="I14" s="69">
        <v>45990</v>
      </c>
    </row>
    <row r="15" spans="2:9" s="65" customFormat="1" ht="75" customHeight="1" x14ac:dyDescent="0.15">
      <c r="B15" s="76"/>
      <c r="C15" s="119">
        <v>0.625</v>
      </c>
      <c r="D15" s="126"/>
      <c r="E15" s="119"/>
      <c r="F15" s="156"/>
      <c r="G15" s="119">
        <v>0.625</v>
      </c>
      <c r="H15" s="64"/>
      <c r="I15" s="70"/>
    </row>
    <row r="16" spans="2:9" s="32" customFormat="1" ht="25" customHeight="1" x14ac:dyDescent="0.2">
      <c r="B16" s="75"/>
      <c r="C16" s="63">
        <f t="array" ref="C16:I16">DaysAndWeeks+DATE(CalendarYear,11,1)-WEEKDAY(DATE(CalendarYear,11,1),(WeekStart="M")+1)+36</f>
        <v>45991</v>
      </c>
      <c r="D16" s="35">
        <v>45992</v>
      </c>
      <c r="E16" s="35">
        <v>45993</v>
      </c>
      <c r="F16" s="35">
        <v>45994</v>
      </c>
      <c r="G16" s="35">
        <v>45995</v>
      </c>
      <c r="H16" s="35">
        <v>45996</v>
      </c>
      <c r="I16" s="69">
        <v>45997</v>
      </c>
    </row>
    <row r="17" spans="2:9" s="65" customFormat="1" ht="75" customHeight="1" x14ac:dyDescent="0.15">
      <c r="B17" s="76"/>
      <c r="C17" s="102"/>
      <c r="D17" s="64"/>
      <c r="E17" s="64"/>
      <c r="F17" s="64"/>
      <c r="G17" s="64"/>
      <c r="H17" s="64"/>
      <c r="I17" s="70"/>
    </row>
    <row r="18" spans="2:9" ht="125" customHeight="1" thickBot="1" x14ac:dyDescent="0.2">
      <c r="B18" s="74"/>
      <c r="C18" s="166" t="s">
        <v>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4 D15 F15 H15:I15 C16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F17" sqref="F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9"/>
      <c r="D1" s="79"/>
      <c r="E1" s="79"/>
      <c r="F1" s="79"/>
      <c r="G1" s="79"/>
      <c r="H1" s="79"/>
      <c r="I1" s="79"/>
    </row>
    <row r="2" spans="2:9" ht="75" customHeight="1" thickTop="1" x14ac:dyDescent="0.15">
      <c r="B2" s="74"/>
      <c r="C2" s="163" t="s">
        <v>39</v>
      </c>
      <c r="D2" s="164"/>
      <c r="E2" s="164"/>
      <c r="F2" s="164"/>
      <c r="G2" s="164"/>
      <c r="H2" s="164"/>
      <c r="I2" s="165"/>
    </row>
    <row r="3" spans="2:9" ht="20" customHeight="1" x14ac:dyDescent="0.3">
      <c r="B3" s="74"/>
      <c r="C3" s="58"/>
      <c r="D3" s="59"/>
      <c r="E3" s="59"/>
      <c r="F3" s="60"/>
      <c r="G3" s="17" t="s">
        <v>36</v>
      </c>
      <c r="H3" s="17" t="s">
        <v>37</v>
      </c>
      <c r="I3" s="78"/>
    </row>
    <row r="4" spans="2:9" ht="75" customHeight="1" x14ac:dyDescent="0.65">
      <c r="B4" s="74"/>
      <c r="C4" s="131">
        <f>CalendarYear</f>
        <v>2025</v>
      </c>
      <c r="D4" s="176" t="s">
        <v>38</v>
      </c>
      <c r="E4" s="176"/>
      <c r="F4" s="176"/>
      <c r="G4" s="176"/>
      <c r="H4" s="176"/>
      <c r="I4" s="130"/>
    </row>
    <row r="5" spans="2:9" ht="35" customHeight="1" x14ac:dyDescent="0.15">
      <c r="B5" s="74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 x14ac:dyDescent="0.2">
      <c r="B6" s="75"/>
      <c r="C6" s="42">
        <f t="array" ref="C6:I6">DaysAndWeeks+DATE(CalendarYear,12,1)-WEEKDAY(DATE(CalendarYear,12,1),(WeekStart="M")+1)+1</f>
        <v>45991</v>
      </c>
      <c r="D6" s="35">
        <v>45992</v>
      </c>
      <c r="E6" s="35">
        <v>45993</v>
      </c>
      <c r="F6" s="35">
        <v>45994</v>
      </c>
      <c r="G6" s="35">
        <v>45995</v>
      </c>
      <c r="H6" s="33">
        <v>45996</v>
      </c>
      <c r="I6" s="67">
        <v>45997</v>
      </c>
    </row>
    <row r="7" spans="2:9" s="65" customFormat="1" ht="75" customHeight="1" x14ac:dyDescent="0.15">
      <c r="B7" s="76"/>
      <c r="C7" s="66"/>
      <c r="D7" s="64"/>
      <c r="E7" s="64"/>
      <c r="F7" s="64"/>
      <c r="G7" s="135"/>
      <c r="H7" s="119">
        <v>0.625</v>
      </c>
      <c r="I7" s="68"/>
    </row>
    <row r="8" spans="2:9" s="32" customFormat="1" ht="25" customHeight="1" x14ac:dyDescent="0.2">
      <c r="B8" s="75"/>
      <c r="C8" s="36">
        <f t="array" ref="C8:I8">DaysAndWeeks+DATE(CalendarYear,12,1)-WEEKDAY(DATE(CalendarYear,12,1),(WeekStart="M")+1)+8</f>
        <v>45998</v>
      </c>
      <c r="D8" s="33">
        <v>45999</v>
      </c>
      <c r="E8" s="36">
        <v>46000</v>
      </c>
      <c r="F8" s="33">
        <v>46001</v>
      </c>
      <c r="G8" s="33">
        <v>46002</v>
      </c>
      <c r="H8" s="33">
        <v>46003</v>
      </c>
      <c r="I8" s="67">
        <v>46004</v>
      </c>
    </row>
    <row r="9" spans="2:9" s="65" customFormat="1" ht="75" customHeight="1" x14ac:dyDescent="0.15">
      <c r="B9" s="76"/>
      <c r="C9" s="119"/>
      <c r="D9" s="119"/>
      <c r="E9" s="119">
        <v>0.625</v>
      </c>
      <c r="F9" s="119">
        <v>0.625</v>
      </c>
      <c r="G9" s="119"/>
      <c r="H9" s="119"/>
      <c r="I9" s="68"/>
    </row>
    <row r="10" spans="2:9" s="32" customFormat="1" ht="25" customHeight="1" x14ac:dyDescent="0.2">
      <c r="B10" s="75"/>
      <c r="C10" s="36">
        <f t="array" ref="C10:I10">DaysAndWeeks+DATE(CalendarYear,12,1)-WEEKDAY(DATE(CalendarYear,12,1),(WeekStart="M")+1)+15</f>
        <v>46005</v>
      </c>
      <c r="D10" s="33">
        <v>46006</v>
      </c>
      <c r="E10" s="33">
        <v>46007</v>
      </c>
      <c r="F10" s="33">
        <v>46008</v>
      </c>
      <c r="G10" s="33">
        <v>46009</v>
      </c>
      <c r="H10" s="33">
        <v>46010</v>
      </c>
      <c r="I10" s="67">
        <v>46011</v>
      </c>
    </row>
    <row r="11" spans="2:9" s="65" customFormat="1" ht="75" customHeight="1" x14ac:dyDescent="0.15">
      <c r="B11" s="76"/>
      <c r="C11" s="119">
        <v>0.625</v>
      </c>
      <c r="D11" s="119">
        <v>0.625</v>
      </c>
      <c r="E11" s="119"/>
      <c r="F11" s="119"/>
      <c r="G11" s="119"/>
      <c r="H11" s="119">
        <v>0.625</v>
      </c>
      <c r="I11" s="119">
        <v>0.625</v>
      </c>
    </row>
    <row r="12" spans="2:9" s="32" customFormat="1" ht="25" customHeight="1" x14ac:dyDescent="0.2">
      <c r="B12" s="75"/>
      <c r="C12" s="36">
        <f t="array" ref="C12:I12">DaysAndWeeks+DATE(CalendarYear,12,1)-WEEKDAY(DATE(CalendarYear,12,1),(WeekStart="M")+1)+22</f>
        <v>46012</v>
      </c>
      <c r="D12" s="33">
        <v>46013</v>
      </c>
      <c r="E12" s="33">
        <v>46014</v>
      </c>
      <c r="F12" s="33">
        <v>46015</v>
      </c>
      <c r="G12" s="33">
        <v>46016</v>
      </c>
      <c r="H12" s="33">
        <v>46017</v>
      </c>
      <c r="I12" s="67">
        <v>46018</v>
      </c>
    </row>
    <row r="13" spans="2:9" s="65" customFormat="1" ht="75" customHeight="1" x14ac:dyDescent="0.15">
      <c r="B13" s="76"/>
      <c r="C13" s="119"/>
      <c r="D13" s="119"/>
      <c r="E13" s="119"/>
      <c r="F13" s="119">
        <v>0.625</v>
      </c>
      <c r="G13" s="119">
        <v>0.625</v>
      </c>
      <c r="H13" s="119"/>
      <c r="I13" s="68"/>
    </row>
    <row r="14" spans="2:9" s="32" customFormat="1" ht="25" customHeight="1" x14ac:dyDescent="0.2">
      <c r="B14" s="75"/>
      <c r="C14" s="36">
        <f t="array" ref="C14:I14">DaysAndWeeks+DATE(CalendarYear,12,1)-WEEKDAY(DATE(CalendarYear,12,1),(WeekStart="M")+1)+29</f>
        <v>46019</v>
      </c>
      <c r="D14" s="33">
        <v>46020</v>
      </c>
      <c r="E14" s="33">
        <v>46021</v>
      </c>
      <c r="F14" s="33">
        <v>46022</v>
      </c>
      <c r="G14" s="33">
        <v>46023</v>
      </c>
      <c r="H14" s="33">
        <v>46024</v>
      </c>
      <c r="I14" s="67">
        <v>46025</v>
      </c>
    </row>
    <row r="15" spans="2:9" s="65" customFormat="1" ht="75" customHeight="1" x14ac:dyDescent="0.15">
      <c r="B15" s="76"/>
      <c r="C15" s="119"/>
      <c r="D15" s="119">
        <v>0.625</v>
      </c>
      <c r="E15" s="119">
        <v>0.625</v>
      </c>
      <c r="F15" s="119"/>
      <c r="G15" s="119"/>
      <c r="H15" s="119"/>
      <c r="I15" s="119">
        <v>0.625</v>
      </c>
    </row>
    <row r="16" spans="2:9" s="32" customFormat="1" ht="25" customHeight="1" x14ac:dyDescent="0.2">
      <c r="B16" s="75"/>
      <c r="C16" s="113">
        <f t="array" ref="C16:I16">DaysAndWeeks+DATE(CalendarYear,12,1)-WEEKDAY(DATE(CalendarYear,12,1),(WeekStart="M")+1)+36</f>
        <v>46026</v>
      </c>
      <c r="D16" s="35">
        <v>46027</v>
      </c>
      <c r="E16" s="63">
        <v>46028</v>
      </c>
      <c r="F16" s="35">
        <v>46029</v>
      </c>
      <c r="G16" s="35">
        <v>46030</v>
      </c>
      <c r="H16" s="63">
        <v>46031</v>
      </c>
      <c r="I16" s="69">
        <v>46032</v>
      </c>
    </row>
    <row r="17" spans="2:9" s="65" customFormat="1" ht="75" customHeight="1" x14ac:dyDescent="0.15">
      <c r="B17" s="76"/>
      <c r="C17" s="119">
        <v>0.625</v>
      </c>
      <c r="D17" s="64"/>
      <c r="E17" s="102"/>
      <c r="F17" s="64"/>
      <c r="G17" s="64"/>
      <c r="H17" s="102"/>
      <c r="I17" s="70"/>
    </row>
    <row r="18" spans="2:9" ht="125" customHeight="1" thickBot="1" x14ac:dyDescent="0.2">
      <c r="B18" s="74"/>
      <c r="C18" s="166" t="s">
        <v>5</v>
      </c>
      <c r="D18" s="167"/>
      <c r="E18" s="167"/>
      <c r="F18" s="167"/>
      <c r="G18" s="167"/>
      <c r="H18" s="167"/>
      <c r="I18" s="16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F15 H15 C16:I16 D17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10CFAD-D087-4ED0-9635-4C137206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9E89F-E0F7-4EA5-B004-DCB6817900CE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2f96a5e1-f937-4986-abb4-c031ec480b26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088389d-f9a4-418b-a8d8-f0ed3f71e6c8"/>
  </ds:schemaRefs>
</ds:datastoreItem>
</file>

<file path=customXml/itemProps3.xml><?xml version="1.0" encoding="utf-8"?>
<ds:datastoreItem xmlns:ds="http://schemas.openxmlformats.org/officeDocument/2006/customXml" ds:itemID="{21C2CF26-D36B-43E4-9660-EEF41C77CB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Anthony Colón</cp:lastModifiedBy>
  <cp:revision/>
  <dcterms:created xsi:type="dcterms:W3CDTF">2016-11-11T22:25:27Z</dcterms:created>
  <dcterms:modified xsi:type="dcterms:W3CDTF">2025-02-27T18:51:24Z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