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colon/Library/CloudStorage/OneDrive-OurFamilyWizard/Desktop/"/>
    </mc:Choice>
  </mc:AlternateContent>
  <xr:revisionPtr revIDLastSave="0" documentId="8_{0361A6BE-0CA4-F545-8AF6-411CC36BBA87}" xr6:coauthVersionLast="47" xr6:coauthVersionMax="47" xr10:uidLastSave="{00000000-0000-0000-0000-000000000000}"/>
  <bookViews>
    <workbookView xWindow="460" yWindow="760" windowWidth="31000" windowHeight="20060" activeTab="2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/>
  <c r="C5" i="5"/>
  <c r="C5" i="13"/>
  <c r="C5" i="12"/>
  <c r="C5" i="11"/>
  <c r="C5" i="10"/>
  <c r="C5" i="9"/>
  <c r="C5" i="8"/>
  <c r="C5" i="7"/>
  <c r="C5" i="6"/>
  <c r="C5" i="4"/>
  <c r="C5" i="3"/>
  <c r="C5" i="2"/>
  <c r="C4" i="2"/>
  <c r="C16" i="3" a="1"/>
  <c r="I16" i="3"/>
  <c r="C6" i="7" a="1"/>
  <c r="H6" i="7"/>
  <c r="H5" i="7"/>
  <c r="C6" i="12" a="1"/>
  <c r="H6" i="12"/>
  <c r="H5" i="12"/>
  <c r="H8" i="9"/>
  <c r="C6" i="3" a="1"/>
  <c r="I6" i="3"/>
  <c r="I5" i="3"/>
  <c r="C14" i="4" a="1"/>
  <c r="C14" i="4"/>
  <c r="C14" i="7" a="1"/>
  <c r="E14" i="7"/>
  <c r="C14" i="13" a="1"/>
  <c r="D14" i="13"/>
  <c r="C14" i="3" a="1"/>
  <c r="C14" i="3"/>
  <c r="C12" i="9" a="1"/>
  <c r="I12" i="9"/>
  <c r="C10" i="9" a="1"/>
  <c r="C10" i="9"/>
  <c r="C6" i="5" a="1"/>
  <c r="G6" i="5"/>
  <c r="G5" i="5"/>
  <c r="C10" i="5" a="1"/>
  <c r="H10" i="5"/>
  <c r="C6" i="10" a="1"/>
  <c r="G6" i="10"/>
  <c r="G5" i="10"/>
  <c r="I6" i="7"/>
  <c r="I5" i="7"/>
  <c r="C12" i="5" a="1"/>
  <c r="F12" i="5"/>
  <c r="C14" i="10" a="1"/>
  <c r="D14" i="10"/>
  <c r="C6" i="6" a="1"/>
  <c r="C6" i="6"/>
  <c r="C10" i="2" a="1"/>
  <c r="F10" i="2"/>
  <c r="C16" i="6" a="1"/>
  <c r="F16" i="6"/>
  <c r="C6" i="13" a="1"/>
  <c r="H6" i="13"/>
  <c r="H5" i="13"/>
  <c r="H6" i="5"/>
  <c r="H5" i="5"/>
  <c r="F6" i="3"/>
  <c r="F5" i="3"/>
  <c r="C6" i="12"/>
  <c r="F6" i="12"/>
  <c r="F5" i="12"/>
  <c r="D6" i="7"/>
  <c r="D5" i="7"/>
  <c r="C6" i="7"/>
  <c r="E6" i="10"/>
  <c r="E5" i="10"/>
  <c r="G14" i="4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/>
  <c r="I5" i="11"/>
  <c r="C8" i="12" a="1"/>
  <c r="C8" i="13" a="1"/>
  <c r="C16" i="13" a="1"/>
  <c r="C16" i="11" a="1"/>
  <c r="H16" i="11"/>
  <c r="C8" i="3" a="1"/>
  <c r="C10" i="6" a="1"/>
  <c r="C14" i="8" a="1"/>
  <c r="C8" i="11" a="1"/>
  <c r="C8" i="11"/>
  <c r="C10" i="12" a="1"/>
  <c r="C16" i="8" a="1"/>
  <c r="C6" i="4" a="1"/>
  <c r="C8" i="4" a="1"/>
  <c r="C14" i="5" a="1"/>
  <c r="C8" i="7" a="1"/>
  <c r="C14" i="9" a="1"/>
  <c r="C10" i="10" a="1"/>
  <c r="C10" i="11" a="1"/>
  <c r="F10" i="1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/>
  <c r="C16" i="4" a="1"/>
  <c r="C6" i="2" a="1"/>
  <c r="C8" i="5" a="1"/>
  <c r="C16" i="5" a="1"/>
  <c r="C16" i="9" a="1"/>
  <c r="C12" i="10" a="1"/>
  <c r="C14" i="11" a="1"/>
  <c r="H14" i="1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10" i="11"/>
  <c r="D12" i="11"/>
  <c r="F12" i="11"/>
  <c r="C12" i="11"/>
  <c r="E12" i="11"/>
  <c r="E6" i="11"/>
  <c r="E5" i="11"/>
  <c r="H6" i="3"/>
  <c r="H5" i="3"/>
  <c r="H10" i="11"/>
  <c r="C10" i="11"/>
  <c r="D10" i="11"/>
  <c r="H8" i="11"/>
  <c r="E10" i="11"/>
  <c r="G10" i="11"/>
  <c r="H14" i="4"/>
  <c r="D16" i="11"/>
  <c r="E14" i="4"/>
  <c r="E6" i="3"/>
  <c r="E5" i="3"/>
  <c r="E16" i="11"/>
  <c r="G14" i="3"/>
  <c r="D14" i="3"/>
  <c r="G14" i="7"/>
  <c r="F14" i="3"/>
  <c r="F16" i="11"/>
  <c r="F14" i="11"/>
  <c r="G16" i="11"/>
  <c r="I14" i="3"/>
  <c r="H14" i="7"/>
  <c r="H14" i="3"/>
  <c r="I6" i="12"/>
  <c r="I5" i="12"/>
  <c r="F14" i="13"/>
  <c r="E14" i="11"/>
  <c r="C14" i="11"/>
  <c r="G14" i="11"/>
  <c r="F6" i="7"/>
  <c r="F5" i="7"/>
  <c r="E6" i="7"/>
  <c r="E5" i="7"/>
  <c r="E16" i="6"/>
  <c r="H10" i="9"/>
  <c r="H6" i="10"/>
  <c r="H5" i="10"/>
  <c r="H12" i="9"/>
  <c r="F6" i="10"/>
  <c r="F5" i="10"/>
  <c r="I14" i="7"/>
  <c r="I10" i="9"/>
  <c r="C16" i="6"/>
  <c r="H10" i="2"/>
  <c r="I14" i="4"/>
  <c r="I6" i="10"/>
  <c r="I5" i="10"/>
  <c r="E14" i="3"/>
  <c r="E12" i="9"/>
  <c r="H12" i="5"/>
  <c r="D6" i="3"/>
  <c r="D5" i="3"/>
  <c r="I14" i="13"/>
  <c r="E6" i="12"/>
  <c r="E5" i="12"/>
  <c r="I6" i="5"/>
  <c r="I5" i="5"/>
  <c r="G6" i="3"/>
  <c r="G5" i="3"/>
  <c r="G6" i="7"/>
  <c r="G5" i="7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/>
  <c r="E14" i="13"/>
  <c r="E10" i="5"/>
  <c r="D6" i="12"/>
  <c r="D5" i="12"/>
  <c r="E6" i="5"/>
  <c r="E5" i="5"/>
  <c r="C6" i="3"/>
  <c r="G14" i="13"/>
  <c r="F14" i="10"/>
  <c r="H14" i="13"/>
  <c r="D14" i="7"/>
  <c r="F14" i="7"/>
  <c r="G14" i="10"/>
  <c r="D16" i="6"/>
  <c r="C14" i="10"/>
  <c r="G6" i="12"/>
  <c r="G5" i="12"/>
  <c r="I10" i="2"/>
  <c r="G12" i="9"/>
  <c r="D6" i="5"/>
  <c r="D5" i="5"/>
  <c r="G16" i="6"/>
  <c r="I16" i="6"/>
  <c r="F6" i="5"/>
  <c r="F5" i="5"/>
  <c r="H16" i="6"/>
  <c r="C6" i="13"/>
  <c r="D6" i="13"/>
  <c r="D5" i="13"/>
  <c r="I12" i="5"/>
  <c r="G12" i="5"/>
  <c r="D12" i="5"/>
  <c r="E12" i="5"/>
  <c r="C12" i="5"/>
  <c r="E6" i="13"/>
  <c r="E5" i="13"/>
  <c r="H14" i="10"/>
  <c r="D10" i="2"/>
  <c r="G10" i="5"/>
  <c r="F6" i="13"/>
  <c r="F5" i="13"/>
  <c r="C6" i="5"/>
  <c r="I14" i="10"/>
  <c r="G6" i="13"/>
  <c r="G5" i="13"/>
  <c r="E6" i="6"/>
  <c r="E5" i="6"/>
  <c r="F6" i="6"/>
  <c r="F5" i="6"/>
  <c r="G6" i="6"/>
  <c r="G5" i="6"/>
  <c r="I6" i="6"/>
  <c r="I5" i="6"/>
  <c r="H6" i="6"/>
  <c r="H5" i="6"/>
  <c r="E10" i="9"/>
  <c r="F10" i="9"/>
  <c r="D10" i="9"/>
  <c r="G10" i="9"/>
  <c r="C10" i="2"/>
  <c r="D6" i="10"/>
  <c r="D5" i="10"/>
  <c r="I6" i="13"/>
  <c r="I5" i="13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/>
  <c r="G6" i="2"/>
  <c r="G5" i="2"/>
  <c r="D6" i="2"/>
  <c r="D5" i="2"/>
  <c r="C6" i="2"/>
  <c r="F6" i="2"/>
  <c r="F5" i="2"/>
  <c r="I6" i="2"/>
  <c r="I5" i="2"/>
  <c r="H6" i="2"/>
  <c r="H5" i="2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/>
  <c r="I6" i="8"/>
  <c r="I5" i="8"/>
  <c r="G6" i="8"/>
  <c r="G5" i="8"/>
  <c r="F6" i="8"/>
  <c r="F5" i="8"/>
  <c r="C6" i="8"/>
  <c r="E6" i="8"/>
  <c r="E5" i="8"/>
  <c r="D6" i="8"/>
  <c r="D5" i="8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/>
  <c r="D6" i="9"/>
  <c r="D5" i="9"/>
  <c r="C6" i="9"/>
  <c r="I6" i="9"/>
  <c r="I5" i="9"/>
  <c r="H6" i="9"/>
  <c r="H5" i="9"/>
  <c r="F6" i="9"/>
  <c r="F5" i="9"/>
  <c r="G6" i="9"/>
  <c r="G5" i="9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/>
  <c r="I6" i="4"/>
  <c r="I5" i="4"/>
  <c r="D6" i="4"/>
  <c r="D5" i="4"/>
  <c r="C6" i="4"/>
  <c r="F6" i="4"/>
  <c r="F5" i="4"/>
  <c r="E6" i="4"/>
  <c r="E5" i="4"/>
  <c r="H6" i="4"/>
  <c r="H5" i="4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/>
  <c r="E8" i="11"/>
  <c r="F8" i="11"/>
  <c r="I8" i="11"/>
  <c r="C6" i="11"/>
  <c r="D6" i="11"/>
  <c r="D5" i="1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<sst xmlns="http://schemas.openxmlformats.org/spreadsheetml/2006/main" count="66" uniqueCount="42">
  <si>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</si>
  <si>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</si>
  <si>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</si>
  <si>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</si>
  <si>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</si>
  <si>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t>v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</si>
  <si>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</si>
  <si>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</si>
  <si>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</si>
  <si>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</si>
  <si>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</si>
  <si>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</si>
  <si>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</si>
  <si>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</si>
  <si>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</si>
  <si>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</si>
  <si>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</si>
  <si>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</si>
  <si>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</si>
  <si>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</si>
  <si>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</si>
  <si>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</si>
  <si>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</si>
  <si>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</si>
  <si>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</si>
  <si>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</si>
  <si>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</si>
  <si>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</si>
  <si>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</si>
  <si>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</si>
  <si>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</si>
  <si>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</si>
  <si>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</si>
  <si>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</si>
  <si>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</si>
  <si>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</si>
  <si>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</si>
  <si>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</si>
  <si>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</si>
  <si>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</si>
  <si>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3;00 PM</t>
  </si>
  <si>
    <t>70/30 5-2 Custody Schedule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</si>
</sst>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3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14"/>
      <color rgb="FFFF0000"/>
      <name val="Montserrat Regular"/>
    </font>
    <font>
      <sz val="9"/>
      <color theme="1" tint="0.34998626667073579"/>
      <name val="Montserrat Regular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90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18" fontId="11" fillId="5" borderId="9" xfId="11" applyNumberFormat="1" applyFont="1" applyFill="1" applyBorder="1" applyAlignment="1">
      <alignment horizontal="left" vertical="top" wrapTex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0" fontId="13" fillId="3" borderId="24" xfId="11" applyFont="1" applyFill="1" applyBorder="1">
      <alignment horizontal="left" vertical="top" wrapText="1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7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3" fillId="3" borderId="12" xfId="11" applyFont="1" applyFill="1" applyBorder="1" applyAlignment="1">
      <alignment horizontal="left" vertical="top" wrapText="1"/>
    </xf>
    <xf numFmtId="0" fontId="34" fillId="2" borderId="0" xfId="7" applyFont="1" applyFill="1" applyBorder="1">
      <alignment horizontal="left"/>
    </xf>
    <xf numFmtId="0" fontId="35" fillId="2" borderId="0" xfId="5" applyFont="1" applyFill="1">
      <alignment horizontal="center" vertical="top"/>
    </xf>
    <xf numFmtId="0" fontId="36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5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33" fillId="3" borderId="0" xfId="11" applyFont="1" applyFill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7" fillId="2" borderId="0" xfId="5" applyFont="1" applyFill="1">
      <alignment horizontal="center" vertical="top"/>
    </xf>
    <xf numFmtId="0" fontId="38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7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5" borderId="12" xfId="0" applyNumberFormat="1" applyFont="1" applyFill="1" applyBorder="1" applyAlignment="1">
      <alignment horizontal="center" vertical="top" wrapText="1"/>
    </xf>
    <xf numFmtId="165" fontId="11" fillId="5" borderId="9" xfId="11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39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0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65" fontId="11" fillId="0" borderId="11" xfId="0" applyNumberFormat="1" applyFont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center" vertical="top" wrapText="1"/>
    </xf>
    <xf numFmtId="18" fontId="11" fillId="3" borderId="9" xfId="0" applyNumberFormat="1" applyFont="1" applyFill="1" applyBorder="1" applyAlignment="1">
      <alignment horizontal="center" vertical="top" wrapText="1"/>
    </xf>
    <xf numFmtId="0" fontId="12" fillId="3" borderId="9" xfId="0" applyFont="1" applyFill="1" applyBorder="1">
      <alignment horizontal="left" vertical="top" wrapText="1" indent="1"/>
    </xf>
    <xf numFmtId="0" fontId="12" fillId="3" borderId="16" xfId="0" applyFont="1" applyFill="1" applyBorder="1">
      <alignment horizontal="left" vertical="top" wrapText="1" indent="1"/>
    </xf>
    <xf numFmtId="18" fontId="11" fillId="3" borderId="17" xfId="11" applyNumberFormat="1" applyFont="1" applyFill="1" applyBorder="1" applyAlignment="1">
      <alignment horizontal="center" vertical="top" wrapText="1"/>
    </xf>
    <xf numFmtId="164" fontId="23" fillId="3" borderId="13" xfId="4" applyFont="1" applyFill="1" applyBorder="1">
      <alignment horizontal="left" indent="1"/>
    </xf>
    <xf numFmtId="164" fontId="30" fillId="5" borderId="8" xfId="4" applyFont="1" applyFill="1" applyBorder="1">
      <alignment horizontal="left" indent="1"/>
    </xf>
    <xf numFmtId="164" fontId="41" fillId="3" borderId="8" xfId="4" applyFont="1" applyFill="1" applyBorder="1">
      <alignment horizontal="left" indent="1"/>
    </xf>
    <xf numFmtId="164" fontId="27" fillId="5" borderId="25" xfId="4" applyFont="1" applyFill="1" applyBorder="1">
      <alignment horizontal="left" indent="1"/>
    </xf>
    <xf numFmtId="164" fontId="27" fillId="5" borderId="26" xfId="4" applyFont="1" applyFill="1" applyBorder="1">
      <alignment horizontal="left" indent="1"/>
    </xf>
    <xf numFmtId="18" fontId="11" fillId="3" borderId="30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left" vertical="top" wrapText="1"/>
    </xf>
    <xf numFmtId="0" fontId="11" fillId="5" borderId="9" xfId="11" applyFont="1" applyFill="1" applyBorder="1" applyAlignment="1">
      <alignment horizontal="left" vertical="top" wrapText="1"/>
    </xf>
    <xf numFmtId="0" fontId="33" fillId="5" borderId="16" xfId="11" applyFont="1" applyFill="1" applyBorder="1" applyAlignment="1">
      <alignment horizontal="left" vertical="top" wrapText="1"/>
    </xf>
    <xf numFmtId="164" fontId="27" fillId="5" borderId="14" xfId="4" applyFont="1" applyFill="1" applyBorder="1">
      <alignment horizontal="left" indent="1"/>
    </xf>
    <xf numFmtId="19" fontId="11" fillId="3" borderId="24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0" fontId="11" fillId="3" borderId="9" xfId="11" applyFont="1" applyFill="1" applyBorder="1">
      <alignment horizontal="left" vertical="top" wrapText="1" indent="1"/>
    </xf>
    <xf numFmtId="0" fontId="11" fillId="3" borderId="16" xfId="11" applyFont="1" applyFill="1" applyBorder="1">
      <alignment horizontal="left" vertical="top" wrapText="1" indent="1"/>
    </xf>
    <xf numFmtId="18" fontId="12" fillId="0" borderId="12" xfId="0" applyNumberFormat="1" applyFont="1" applyBorder="1" applyAlignment="1">
      <alignment horizontal="center" vertical="top" wrapText="1"/>
    </xf>
    <xf numFmtId="18" fontId="12" fillId="5" borderId="9" xfId="11" applyNumberFormat="1" applyFont="1" applyFill="1" applyBorder="1" applyAlignment="1">
      <alignment horizontal="center" vertical="top" wrapText="1"/>
    </xf>
    <xf numFmtId="18" fontId="42" fillId="0" borderId="12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left" vertical="top" wrapText="1"/>
    </xf>
    <xf numFmtId="18" fontId="33" fillId="5" borderId="24" xfId="11" applyNumberFormat="1" applyFont="1" applyFill="1" applyBorder="1" applyAlignment="1">
      <alignment horizontal="center" vertical="top" wrapText="1"/>
    </xf>
    <xf numFmtId="18" fontId="33" fillId="0" borderId="0" xfId="11" applyNumberFormat="1" applyFont="1" applyBorder="1" applyAlignment="1">
      <alignment horizontal="center" vertical="top" wrapText="1"/>
    </xf>
    <xf numFmtId="18" fontId="11" fillId="0" borderId="9" xfId="11" applyNumberFormat="1" applyFont="1" applyBorder="1" applyAlignment="1">
      <alignment horizontal="left" vertical="top" wrapText="1"/>
    </xf>
    <xf numFmtId="165" fontId="33" fillId="0" borderId="9" xfId="11" applyNumberFormat="1" applyFont="1" applyBorder="1" applyAlignment="1">
      <alignment horizontal="center" vertical="top" wrapText="1"/>
    </xf>
    <xf numFmtId="18" fontId="11" fillId="5" borderId="24" xfId="11" applyNumberFormat="1" applyFont="1" applyFill="1" applyBorder="1" applyAlignment="1">
      <alignment horizontal="center" vertical="top" wrapText="1"/>
    </xf>
    <xf numFmtId="18" fontId="11" fillId="5" borderId="30" xfId="11" applyNumberFormat="1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0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E8390"/>
      <color rgb="FF8FC6E2"/>
      <color rgb="FF172743"/>
      <color rgb="FFCFAA49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1166627</xdr:colOff>
      <xdr:row>8</xdr:row>
      <xdr:rowOff>189947</xdr:rowOff>
    </xdr:from>
    <xdr:to>
      <xdr:col>9</xdr:col>
      <xdr:colOff>17115</xdr:colOff>
      <xdr:row>8</xdr:row>
      <xdr:rowOff>516860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313000-F0F1-F149-AE0A-3EE9547FDB81}"/>
            </a:ext>
          </a:extLst>
        </xdr:cNvPr>
        <xdr:cNvSpPr txBox="1"/>
      </xdr:nvSpPr>
      <xdr:spPr>
        <a:xfrm>
          <a:off x="14102906" y="4605412"/>
          <a:ext cx="3812349" cy="32691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1151861</xdr:colOff>
      <xdr:row>10</xdr:row>
      <xdr:rowOff>177208</xdr:rowOff>
    </xdr:from>
    <xdr:to>
      <xdr:col>9</xdr:col>
      <xdr:colOff>14767</xdr:colOff>
      <xdr:row>10</xdr:row>
      <xdr:rowOff>516859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BC5F1F6-EA57-994F-8904-30FD2F6C80F9}"/>
            </a:ext>
          </a:extLst>
        </xdr:cNvPr>
        <xdr:cNvSpPr txBox="1"/>
      </xdr:nvSpPr>
      <xdr:spPr>
        <a:xfrm>
          <a:off x="14088140" y="5877441"/>
          <a:ext cx="3824767" cy="3396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1151861</xdr:colOff>
      <xdr:row>12</xdr:row>
      <xdr:rowOff>191976</xdr:rowOff>
    </xdr:from>
    <xdr:to>
      <xdr:col>8</xdr:col>
      <xdr:colOff>2468217</xdr:colOff>
      <xdr:row>12</xdr:row>
      <xdr:rowOff>531628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07ABA7F-6206-EF48-9E03-6B42AB226B9B}"/>
            </a:ext>
          </a:extLst>
        </xdr:cNvPr>
        <xdr:cNvSpPr txBox="1"/>
      </xdr:nvSpPr>
      <xdr:spPr>
        <a:xfrm>
          <a:off x="14088140" y="7176976"/>
          <a:ext cx="3797286" cy="33965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1270001</xdr:colOff>
      <xdr:row>14</xdr:row>
      <xdr:rowOff>179458</xdr:rowOff>
    </xdr:from>
    <xdr:to>
      <xdr:col>5</xdr:col>
      <xdr:colOff>29534</xdr:colOff>
      <xdr:row>14</xdr:row>
      <xdr:rowOff>516861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1801629" y="8449225"/>
          <a:ext cx="6202324" cy="3374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885</xdr:colOff>
      <xdr:row>8</xdr:row>
      <xdr:rowOff>191977</xdr:rowOff>
    </xdr:from>
    <xdr:to>
      <xdr:col>7</xdr:col>
      <xdr:colOff>1196163</xdr:colOff>
      <xdr:row>8</xdr:row>
      <xdr:rowOff>516861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2513" y="4607442"/>
          <a:ext cx="13599929" cy="32488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885</xdr:colOff>
      <xdr:row>12</xdr:row>
      <xdr:rowOff>191977</xdr:rowOff>
    </xdr:from>
    <xdr:to>
      <xdr:col>7</xdr:col>
      <xdr:colOff>1151861</xdr:colOff>
      <xdr:row>12</xdr:row>
      <xdr:rowOff>531628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A7E4A5-F510-D64B-A036-F4C156A06E68}"/>
            </a:ext>
          </a:extLst>
        </xdr:cNvPr>
        <xdr:cNvSpPr txBox="1"/>
      </xdr:nvSpPr>
      <xdr:spPr>
        <a:xfrm>
          <a:off x="532513" y="7176977"/>
          <a:ext cx="13555627" cy="33965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1210930</xdr:colOff>
      <xdr:row>6</xdr:row>
      <xdr:rowOff>177209</xdr:rowOff>
    </xdr:from>
    <xdr:to>
      <xdr:col>7</xdr:col>
      <xdr:colOff>1210930</xdr:colOff>
      <xdr:row>6</xdr:row>
      <xdr:rowOff>502093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75E6D1-3FD2-6242-9620-FBF93179FDD8}"/>
            </a:ext>
          </a:extLst>
        </xdr:cNvPr>
        <xdr:cNvSpPr txBox="1"/>
      </xdr:nvSpPr>
      <xdr:spPr>
        <a:xfrm>
          <a:off x="1742558" y="3307907"/>
          <a:ext cx="12404651" cy="32488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14768</xdr:colOff>
      <xdr:row>6</xdr:row>
      <xdr:rowOff>177209</xdr:rowOff>
    </xdr:from>
    <xdr:to>
      <xdr:col>2</xdr:col>
      <xdr:colOff>1240465</xdr:colOff>
      <xdr:row>6</xdr:row>
      <xdr:rowOff>487326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3011B8-4A65-2E49-AC39-C57B7492CCE7}"/>
            </a:ext>
          </a:extLst>
        </xdr:cNvPr>
        <xdr:cNvSpPr txBox="1"/>
      </xdr:nvSpPr>
      <xdr:spPr>
        <a:xfrm>
          <a:off x="546396" y="3307907"/>
          <a:ext cx="1225697" cy="31011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1196163</xdr:colOff>
      <xdr:row>6</xdr:row>
      <xdr:rowOff>191977</xdr:rowOff>
    </xdr:from>
    <xdr:to>
      <xdr:col>9</xdr:col>
      <xdr:colOff>14768</xdr:colOff>
      <xdr:row>6</xdr:row>
      <xdr:rowOff>502093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07BB069-4E72-9145-9588-B726B377F75E}"/>
            </a:ext>
          </a:extLst>
        </xdr:cNvPr>
        <xdr:cNvSpPr txBox="1"/>
      </xdr:nvSpPr>
      <xdr:spPr>
        <a:xfrm>
          <a:off x="14132442" y="3322675"/>
          <a:ext cx="3780466" cy="31011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1255233</xdr:colOff>
      <xdr:row>10</xdr:row>
      <xdr:rowOff>177208</xdr:rowOff>
    </xdr:from>
    <xdr:to>
      <xdr:col>7</xdr:col>
      <xdr:colOff>1181396</xdr:colOff>
      <xdr:row>10</xdr:row>
      <xdr:rowOff>531627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5B6482B-C259-AD4B-848E-A16D4884D9FA}"/>
            </a:ext>
          </a:extLst>
        </xdr:cNvPr>
        <xdr:cNvSpPr txBox="1"/>
      </xdr:nvSpPr>
      <xdr:spPr>
        <a:xfrm>
          <a:off x="1786861" y="5877441"/>
          <a:ext cx="12330814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7443E7B6-E917-8DE9-FE28-83546988FDF1}"/>
            </a:ext>
          </a:extLst>
        </xdr:cNvPr>
        <xdr:cNvSpPr>
          <a:spLocks noChangeAspect="1" noChangeArrowheads="1"/>
        </xdr:cNvSpPr>
      </xdr:nvSpPr>
      <xdr:spPr bwMode="auto">
        <a:xfrm>
          <a:off x="18745200" y="13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2156046</xdr:colOff>
      <xdr:row>1</xdr:row>
      <xdr:rowOff>635000</xdr:rowOff>
    </xdr:from>
    <xdr:to>
      <xdr:col>8</xdr:col>
      <xdr:colOff>2127454</xdr:colOff>
      <xdr:row>3</xdr:row>
      <xdr:rowOff>594910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DFF8217-9D54-2474-1F24-90E8F5C3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2325" y="826977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14768</xdr:colOff>
      <xdr:row>8</xdr:row>
      <xdr:rowOff>177209</xdr:rowOff>
    </xdr:from>
    <xdr:to>
      <xdr:col>2</xdr:col>
      <xdr:colOff>1270000</xdr:colOff>
      <xdr:row>8</xdr:row>
      <xdr:rowOff>516861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639D727-CB99-5A41-85C3-928E225B848C}"/>
            </a:ext>
          </a:extLst>
        </xdr:cNvPr>
        <xdr:cNvSpPr txBox="1"/>
      </xdr:nvSpPr>
      <xdr:spPr>
        <a:xfrm>
          <a:off x="546396" y="4592674"/>
          <a:ext cx="1255232" cy="33965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14768</xdr:colOff>
      <xdr:row>10</xdr:row>
      <xdr:rowOff>177209</xdr:rowOff>
    </xdr:from>
    <xdr:to>
      <xdr:col>2</xdr:col>
      <xdr:colOff>1270000</xdr:colOff>
      <xdr:row>10</xdr:row>
      <xdr:rowOff>516861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69A589A-1C74-4041-86A4-30D3AA51AB78}"/>
            </a:ext>
          </a:extLst>
        </xdr:cNvPr>
        <xdr:cNvSpPr txBox="1"/>
      </xdr:nvSpPr>
      <xdr:spPr>
        <a:xfrm>
          <a:off x="546396" y="4592674"/>
          <a:ext cx="1255232" cy="33965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14768</xdr:colOff>
      <xdr:row>12</xdr:row>
      <xdr:rowOff>177209</xdr:rowOff>
    </xdr:from>
    <xdr:to>
      <xdr:col>2</xdr:col>
      <xdr:colOff>1270000</xdr:colOff>
      <xdr:row>12</xdr:row>
      <xdr:rowOff>516861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362193F-C981-9349-B3D8-7E7AFEF5D554}"/>
            </a:ext>
          </a:extLst>
        </xdr:cNvPr>
        <xdr:cNvSpPr txBox="1"/>
      </xdr:nvSpPr>
      <xdr:spPr>
        <a:xfrm>
          <a:off x="546396" y="5877442"/>
          <a:ext cx="1255232" cy="33965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14768</xdr:colOff>
      <xdr:row>14</xdr:row>
      <xdr:rowOff>177209</xdr:rowOff>
    </xdr:from>
    <xdr:to>
      <xdr:col>2</xdr:col>
      <xdr:colOff>1270000</xdr:colOff>
      <xdr:row>14</xdr:row>
      <xdr:rowOff>516861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0A83F6B-7DBA-3B42-BA4A-0D63BA667DB3}"/>
            </a:ext>
          </a:extLst>
        </xdr:cNvPr>
        <xdr:cNvSpPr txBox="1"/>
      </xdr:nvSpPr>
      <xdr:spPr>
        <a:xfrm>
          <a:off x="546396" y="7162209"/>
          <a:ext cx="1255232" cy="33965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13806</xdr:colOff>
      <xdr:row>8</xdr:row>
      <xdr:rowOff>177799</xdr:rowOff>
    </xdr:from>
    <xdr:to>
      <xdr:col>7</xdr:col>
      <xdr:colOff>1213556</xdr:colOff>
      <xdr:row>8</xdr:row>
      <xdr:rowOff>536222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121236-EFAB-F744-BCE6-3A34E0A84D02}"/>
            </a:ext>
          </a:extLst>
        </xdr:cNvPr>
        <xdr:cNvSpPr txBox="1"/>
      </xdr:nvSpPr>
      <xdr:spPr>
        <a:xfrm>
          <a:off x="550028" y="4608688"/>
          <a:ext cx="13617528" cy="35842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1255889</xdr:colOff>
      <xdr:row>10</xdr:row>
      <xdr:rowOff>193212</xdr:rowOff>
    </xdr:from>
    <xdr:to>
      <xdr:col>7</xdr:col>
      <xdr:colOff>1185332</xdr:colOff>
      <xdr:row>10</xdr:row>
      <xdr:rowOff>536221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4B6511-D4A1-DB45-A326-18C167FC29AC}"/>
            </a:ext>
          </a:extLst>
        </xdr:cNvPr>
        <xdr:cNvSpPr txBox="1"/>
      </xdr:nvSpPr>
      <xdr:spPr>
        <a:xfrm>
          <a:off x="1792111" y="5908212"/>
          <a:ext cx="12347221" cy="3430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1213556</xdr:colOff>
      <xdr:row>8</xdr:row>
      <xdr:rowOff>177799</xdr:rowOff>
    </xdr:from>
    <xdr:to>
      <xdr:col>8</xdr:col>
      <xdr:colOff>2457172</xdr:colOff>
      <xdr:row>8</xdr:row>
      <xdr:rowOff>536222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D6DCF9A-6F94-E34A-BD25-E99B28923CFB}"/>
            </a:ext>
          </a:extLst>
        </xdr:cNvPr>
        <xdr:cNvSpPr txBox="1"/>
      </xdr:nvSpPr>
      <xdr:spPr>
        <a:xfrm>
          <a:off x="14167556" y="4608688"/>
          <a:ext cx="3727172" cy="35842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1171222</xdr:colOff>
      <xdr:row>12</xdr:row>
      <xdr:rowOff>151849</xdr:rowOff>
    </xdr:from>
    <xdr:to>
      <xdr:col>8</xdr:col>
      <xdr:colOff>2471144</xdr:colOff>
      <xdr:row>12</xdr:row>
      <xdr:rowOff>536222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8BBA2C9-E3BD-DE41-BE7B-97AABF59E0DE}"/>
            </a:ext>
          </a:extLst>
        </xdr:cNvPr>
        <xdr:cNvSpPr txBox="1"/>
      </xdr:nvSpPr>
      <xdr:spPr>
        <a:xfrm>
          <a:off x="14125222" y="7150960"/>
          <a:ext cx="3783478" cy="38437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1171221</xdr:colOff>
      <xdr:row>6</xdr:row>
      <xdr:rowOff>191910</xdr:rowOff>
    </xdr:from>
    <xdr:to>
      <xdr:col>8</xdr:col>
      <xdr:colOff>2483554</xdr:colOff>
      <xdr:row>6</xdr:row>
      <xdr:rowOff>564443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D9E5D0-98C1-5C4B-AC62-7F25EF6212FB}"/>
            </a:ext>
          </a:extLst>
        </xdr:cNvPr>
        <xdr:cNvSpPr txBox="1"/>
      </xdr:nvSpPr>
      <xdr:spPr>
        <a:xfrm>
          <a:off x="14125221" y="3338688"/>
          <a:ext cx="3795889" cy="3725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1157111</xdr:colOff>
      <xdr:row>10</xdr:row>
      <xdr:rowOff>193212</xdr:rowOff>
    </xdr:from>
    <xdr:to>
      <xdr:col>8</xdr:col>
      <xdr:colOff>2469444</xdr:colOff>
      <xdr:row>10</xdr:row>
      <xdr:rowOff>536221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4687CB9-72C8-0341-911D-31BA6B89BF3B}"/>
            </a:ext>
          </a:extLst>
        </xdr:cNvPr>
        <xdr:cNvSpPr txBox="1"/>
      </xdr:nvSpPr>
      <xdr:spPr>
        <a:xfrm>
          <a:off x="14111111" y="5908212"/>
          <a:ext cx="3795889" cy="34300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9938</xdr:colOff>
      <xdr:row>12</xdr:row>
      <xdr:rowOff>155223</xdr:rowOff>
    </xdr:from>
    <xdr:to>
      <xdr:col>7</xdr:col>
      <xdr:colOff>1199444</xdr:colOff>
      <xdr:row>12</xdr:row>
      <xdr:rowOff>536223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46EEB05-1D0D-FE4E-91F7-9F4B7EEF7D47}"/>
            </a:ext>
          </a:extLst>
        </xdr:cNvPr>
        <xdr:cNvSpPr txBox="1"/>
      </xdr:nvSpPr>
      <xdr:spPr>
        <a:xfrm>
          <a:off x="546160" y="7154334"/>
          <a:ext cx="13607284" cy="3810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1270000</xdr:colOff>
      <xdr:row>14</xdr:row>
      <xdr:rowOff>155222</xdr:rowOff>
    </xdr:from>
    <xdr:to>
      <xdr:col>5</xdr:col>
      <xdr:colOff>28222</xdr:colOff>
      <xdr:row>14</xdr:row>
      <xdr:rowOff>536222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5BB7C74-DE63-044D-970D-CC6AFBA254EC}"/>
            </a:ext>
          </a:extLst>
        </xdr:cNvPr>
        <xdr:cNvSpPr txBox="1"/>
      </xdr:nvSpPr>
      <xdr:spPr>
        <a:xfrm>
          <a:off x="1806222" y="8438444"/>
          <a:ext cx="6208889" cy="3810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14110</xdr:colOff>
      <xdr:row>6</xdr:row>
      <xdr:rowOff>191911</xdr:rowOff>
    </xdr:from>
    <xdr:to>
      <xdr:col>7</xdr:col>
      <xdr:colOff>1171222</xdr:colOff>
      <xdr:row>6</xdr:row>
      <xdr:rowOff>564444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7E7BE3-86BE-CA4D-A799-7C7B1DBE2D7C}"/>
            </a:ext>
          </a:extLst>
        </xdr:cNvPr>
        <xdr:cNvSpPr txBox="1"/>
      </xdr:nvSpPr>
      <xdr:spPr>
        <a:xfrm>
          <a:off x="8000999" y="3338689"/>
          <a:ext cx="6124223" cy="3725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2130778</xdr:colOff>
      <xdr:row>1</xdr:row>
      <xdr:rowOff>620888</xdr:rowOff>
    </xdr:from>
    <xdr:to>
      <xdr:col>8</xdr:col>
      <xdr:colOff>2099560</xdr:colOff>
      <xdr:row>3</xdr:row>
      <xdr:rowOff>578173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A3C8AF4-B4E6-1F4A-8163-C54F7026C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778" y="818444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22254</xdr:colOff>
      <xdr:row>8</xdr:row>
      <xdr:rowOff>183444</xdr:rowOff>
    </xdr:from>
    <xdr:to>
      <xdr:col>2</xdr:col>
      <xdr:colOff>1270002</xdr:colOff>
      <xdr:row>8</xdr:row>
      <xdr:rowOff>536222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4F46076-FC0B-CB44-917F-AB0AF93EDCFB}"/>
            </a:ext>
          </a:extLst>
        </xdr:cNvPr>
        <xdr:cNvSpPr txBox="1"/>
      </xdr:nvSpPr>
      <xdr:spPr>
        <a:xfrm>
          <a:off x="558476" y="4614333"/>
          <a:ext cx="1247748" cy="35277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22254</xdr:colOff>
      <xdr:row>10</xdr:row>
      <xdr:rowOff>183444</xdr:rowOff>
    </xdr:from>
    <xdr:to>
      <xdr:col>2</xdr:col>
      <xdr:colOff>1270002</xdr:colOff>
      <xdr:row>10</xdr:row>
      <xdr:rowOff>536222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E8B8075-6218-1A4E-9C35-CEEAFAD70D00}"/>
            </a:ext>
          </a:extLst>
        </xdr:cNvPr>
        <xdr:cNvSpPr txBox="1"/>
      </xdr:nvSpPr>
      <xdr:spPr>
        <a:xfrm>
          <a:off x="558476" y="4614333"/>
          <a:ext cx="1247748" cy="35277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22254</xdr:colOff>
      <xdr:row>12</xdr:row>
      <xdr:rowOff>155222</xdr:rowOff>
    </xdr:from>
    <xdr:to>
      <xdr:col>2</xdr:col>
      <xdr:colOff>1270002</xdr:colOff>
      <xdr:row>12</xdr:row>
      <xdr:rowOff>536222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8488CA9-77B9-844F-B2FA-19013CA40385}"/>
            </a:ext>
          </a:extLst>
        </xdr:cNvPr>
        <xdr:cNvSpPr txBox="1"/>
      </xdr:nvSpPr>
      <xdr:spPr>
        <a:xfrm>
          <a:off x="558476" y="7154333"/>
          <a:ext cx="1247748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22254</xdr:colOff>
      <xdr:row>14</xdr:row>
      <xdr:rowOff>155222</xdr:rowOff>
    </xdr:from>
    <xdr:to>
      <xdr:col>2</xdr:col>
      <xdr:colOff>1270002</xdr:colOff>
      <xdr:row>14</xdr:row>
      <xdr:rowOff>536222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1DCAC46-EE8D-9142-BDD1-24239B48BBF8}"/>
            </a:ext>
          </a:extLst>
        </xdr:cNvPr>
        <xdr:cNvSpPr txBox="1"/>
      </xdr:nvSpPr>
      <xdr:spPr>
        <a:xfrm>
          <a:off x="558476" y="7154333"/>
          <a:ext cx="1247748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25400</xdr:colOff>
      <xdr:row>8</xdr:row>
      <xdr:rowOff>190500</xdr:rowOff>
    </xdr:from>
    <xdr:to>
      <xdr:col>7</xdr:col>
      <xdr:colOff>1219200</xdr:colOff>
      <xdr:row>8</xdr:row>
      <xdr:rowOff>558800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6E3C3-D0B1-1C42-944B-8F67271F7209}"/>
            </a:ext>
          </a:extLst>
        </xdr:cNvPr>
        <xdr:cNvSpPr txBox="1"/>
      </xdr:nvSpPr>
      <xdr:spPr>
        <a:xfrm>
          <a:off x="558800" y="4572000"/>
          <a:ext cx="13576300" cy="3683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7</xdr:col>
      <xdr:colOff>1155700</xdr:colOff>
      <xdr:row>12</xdr:row>
      <xdr:rowOff>558800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1EDB964-7570-134E-A271-3CAF3823723E}"/>
            </a:ext>
          </a:extLst>
        </xdr:cNvPr>
        <xdr:cNvSpPr txBox="1"/>
      </xdr:nvSpPr>
      <xdr:spPr>
        <a:xfrm>
          <a:off x="546100" y="7086600"/>
          <a:ext cx="13525500" cy="3937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1130300</xdr:colOff>
      <xdr:row>14</xdr:row>
      <xdr:rowOff>177799</xdr:rowOff>
    </xdr:from>
    <xdr:to>
      <xdr:col>7</xdr:col>
      <xdr:colOff>1155700</xdr:colOff>
      <xdr:row>14</xdr:row>
      <xdr:rowOff>558800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1663700" y="8369299"/>
          <a:ext cx="12407900" cy="38100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10</xdr:row>
      <xdr:rowOff>190500</xdr:rowOff>
    </xdr:from>
    <xdr:to>
      <xdr:col>7</xdr:col>
      <xdr:colOff>1193800</xdr:colOff>
      <xdr:row>10</xdr:row>
      <xdr:rowOff>537634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332177F-B300-224F-8723-3E8C50501776}"/>
            </a:ext>
          </a:extLst>
        </xdr:cNvPr>
        <xdr:cNvSpPr txBox="1"/>
      </xdr:nvSpPr>
      <xdr:spPr>
        <a:xfrm>
          <a:off x="1739900" y="5842000"/>
          <a:ext cx="12369800" cy="34713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1155700</xdr:colOff>
      <xdr:row>12</xdr:row>
      <xdr:rowOff>165099</xdr:rowOff>
    </xdr:from>
    <xdr:to>
      <xdr:col>8</xdr:col>
      <xdr:colOff>2463800</xdr:colOff>
      <xdr:row>12</xdr:row>
      <xdr:rowOff>558800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B870F9-5DA9-B143-8815-07A855DA386E}"/>
            </a:ext>
          </a:extLst>
        </xdr:cNvPr>
        <xdr:cNvSpPr txBox="1"/>
      </xdr:nvSpPr>
      <xdr:spPr>
        <a:xfrm>
          <a:off x="14071600" y="7086599"/>
          <a:ext cx="3784600" cy="3937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1155700</xdr:colOff>
      <xdr:row>14</xdr:row>
      <xdr:rowOff>177799</xdr:rowOff>
    </xdr:from>
    <xdr:to>
      <xdr:col>8</xdr:col>
      <xdr:colOff>0</xdr:colOff>
      <xdr:row>14</xdr:row>
      <xdr:rowOff>558800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174D89B-0D01-8046-8936-80F6750F6314}"/>
            </a:ext>
          </a:extLst>
        </xdr:cNvPr>
        <xdr:cNvSpPr txBox="1"/>
      </xdr:nvSpPr>
      <xdr:spPr>
        <a:xfrm>
          <a:off x="14071600" y="8369299"/>
          <a:ext cx="1320800" cy="3810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6</xdr:row>
      <xdr:rowOff>152400</xdr:rowOff>
    </xdr:from>
    <xdr:to>
      <xdr:col>8</xdr:col>
      <xdr:colOff>2463800</xdr:colOff>
      <xdr:row>6</xdr:row>
      <xdr:rowOff>558800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7F5684-5660-6645-8CB0-75F4AB6F8017}"/>
            </a:ext>
          </a:extLst>
        </xdr:cNvPr>
        <xdr:cNvSpPr txBox="1"/>
      </xdr:nvSpPr>
      <xdr:spPr>
        <a:xfrm>
          <a:off x="14122400" y="3263900"/>
          <a:ext cx="3733800" cy="4064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1181100</xdr:colOff>
      <xdr:row>10</xdr:row>
      <xdr:rowOff>190500</xdr:rowOff>
    </xdr:from>
    <xdr:to>
      <xdr:col>8</xdr:col>
      <xdr:colOff>2472267</xdr:colOff>
      <xdr:row>10</xdr:row>
      <xdr:rowOff>537633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2780998-67F1-F845-A101-929BD1D6A1DA}"/>
            </a:ext>
          </a:extLst>
        </xdr:cNvPr>
        <xdr:cNvSpPr txBox="1"/>
      </xdr:nvSpPr>
      <xdr:spPr>
        <a:xfrm>
          <a:off x="14097000" y="5842000"/>
          <a:ext cx="3767667" cy="3471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25401</xdr:colOff>
      <xdr:row>14</xdr:row>
      <xdr:rowOff>177800</xdr:rowOff>
    </xdr:from>
    <xdr:to>
      <xdr:col>2</xdr:col>
      <xdr:colOff>1143001</xdr:colOff>
      <xdr:row>14</xdr:row>
      <xdr:rowOff>558800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8656EEA-3F9C-B041-916E-8E765B20EE1B}"/>
            </a:ext>
          </a:extLst>
        </xdr:cNvPr>
        <xdr:cNvSpPr txBox="1"/>
      </xdr:nvSpPr>
      <xdr:spPr>
        <a:xfrm>
          <a:off x="558801" y="8369300"/>
          <a:ext cx="1117600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16933</xdr:colOff>
      <xdr:row>6</xdr:row>
      <xdr:rowOff>152401</xdr:rowOff>
    </xdr:from>
    <xdr:to>
      <xdr:col>7</xdr:col>
      <xdr:colOff>1206500</xdr:colOff>
      <xdr:row>6</xdr:row>
      <xdr:rowOff>558801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EE3E0B-9B2B-0149-9A8D-AD5D8240BAFB}"/>
            </a:ext>
          </a:extLst>
        </xdr:cNvPr>
        <xdr:cNvSpPr txBox="1"/>
      </xdr:nvSpPr>
      <xdr:spPr>
        <a:xfrm>
          <a:off x="7979833" y="3263901"/>
          <a:ext cx="6142567" cy="4064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6E5703-03DD-0246-AFB6-AA43393A3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38101</xdr:colOff>
      <xdr:row>8</xdr:row>
      <xdr:rowOff>190500</xdr:rowOff>
    </xdr:from>
    <xdr:to>
      <xdr:col>2</xdr:col>
      <xdr:colOff>1219201</xdr:colOff>
      <xdr:row>8</xdr:row>
      <xdr:rowOff>546100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6B56CB-0CE2-3341-9564-735035E7BC93}"/>
            </a:ext>
          </a:extLst>
        </xdr:cNvPr>
        <xdr:cNvSpPr txBox="1"/>
      </xdr:nvSpPr>
      <xdr:spPr>
        <a:xfrm>
          <a:off x="571501" y="4572000"/>
          <a:ext cx="1181100" cy="3556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8</xdr:row>
      <xdr:rowOff>190500</xdr:rowOff>
    </xdr:from>
    <xdr:to>
      <xdr:col>8</xdr:col>
      <xdr:colOff>2463800</xdr:colOff>
      <xdr:row>8</xdr:row>
      <xdr:rowOff>558800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EC4B5BA-598E-E647-839E-A42737DBA674}"/>
            </a:ext>
          </a:extLst>
        </xdr:cNvPr>
        <xdr:cNvSpPr txBox="1"/>
      </xdr:nvSpPr>
      <xdr:spPr>
        <a:xfrm>
          <a:off x="14122400" y="4572000"/>
          <a:ext cx="3733800" cy="3683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38101</xdr:colOff>
      <xdr:row>10</xdr:row>
      <xdr:rowOff>190500</xdr:rowOff>
    </xdr:from>
    <xdr:to>
      <xdr:col>2</xdr:col>
      <xdr:colOff>1219201</xdr:colOff>
      <xdr:row>10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CB662A9-9AD1-8F47-A41B-9BF701737410}"/>
            </a:ext>
          </a:extLst>
        </xdr:cNvPr>
        <xdr:cNvSpPr txBox="1"/>
      </xdr:nvSpPr>
      <xdr:spPr>
        <a:xfrm>
          <a:off x="571501" y="4572000"/>
          <a:ext cx="1181100" cy="3556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12</xdr:row>
      <xdr:rowOff>165100</xdr:rowOff>
    </xdr:from>
    <xdr:to>
      <xdr:col>2</xdr:col>
      <xdr:colOff>1193801</xdr:colOff>
      <xdr:row>12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4F74519-7A37-224E-A303-B93B409E7C57}"/>
            </a:ext>
          </a:extLst>
        </xdr:cNvPr>
        <xdr:cNvSpPr txBox="1"/>
      </xdr:nvSpPr>
      <xdr:spPr>
        <a:xfrm>
          <a:off x="546101" y="7086600"/>
          <a:ext cx="1181100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1155700</xdr:colOff>
      <xdr:row>8</xdr:row>
      <xdr:rowOff>152400</xdr:rowOff>
    </xdr:from>
    <xdr:to>
      <xdr:col>9</xdr:col>
      <xdr:colOff>0</xdr:colOff>
      <xdr:row>8</xdr:row>
      <xdr:rowOff>482600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AB149BA-2D5E-B74F-9E0F-C312CEE307C6}"/>
            </a:ext>
          </a:extLst>
        </xdr:cNvPr>
        <xdr:cNvSpPr txBox="1"/>
      </xdr:nvSpPr>
      <xdr:spPr>
        <a:xfrm>
          <a:off x="14071600" y="4533900"/>
          <a:ext cx="3797300" cy="3302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1181100</xdr:colOff>
      <xdr:row>12</xdr:row>
      <xdr:rowOff>165101</xdr:rowOff>
    </xdr:from>
    <xdr:to>
      <xdr:col>8</xdr:col>
      <xdr:colOff>2463800</xdr:colOff>
      <xdr:row>12</xdr:row>
      <xdr:rowOff>493059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0EB615E-AD14-3140-8EAA-99695CA0E578}"/>
            </a:ext>
          </a:extLst>
        </xdr:cNvPr>
        <xdr:cNvSpPr txBox="1"/>
      </xdr:nvSpPr>
      <xdr:spPr>
        <a:xfrm>
          <a:off x="14097000" y="7086601"/>
          <a:ext cx="3759200" cy="32795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14</xdr:row>
      <xdr:rowOff>177799</xdr:rowOff>
    </xdr:from>
    <xdr:to>
      <xdr:col>9</xdr:col>
      <xdr:colOff>0</xdr:colOff>
      <xdr:row>14</xdr:row>
      <xdr:rowOff>508000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409737F-5E79-714E-B912-6BAE9764D5B3}"/>
            </a:ext>
          </a:extLst>
        </xdr:cNvPr>
        <xdr:cNvSpPr txBox="1"/>
      </xdr:nvSpPr>
      <xdr:spPr>
        <a:xfrm>
          <a:off x="14084300" y="8369299"/>
          <a:ext cx="3784600" cy="3302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152400</xdr:rowOff>
    </xdr:from>
    <xdr:to>
      <xdr:col>7</xdr:col>
      <xdr:colOff>1143000</xdr:colOff>
      <xdr:row>8</xdr:row>
      <xdr:rowOff>482600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558800" y="4533900"/>
          <a:ext cx="13500100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10</xdr:row>
      <xdr:rowOff>177800</xdr:rowOff>
    </xdr:from>
    <xdr:to>
      <xdr:col>7</xdr:col>
      <xdr:colOff>1143000</xdr:colOff>
      <xdr:row>10</xdr:row>
      <xdr:rowOff>493059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17D6D64-9517-854F-8D09-71B0DFB3A8EE}"/>
            </a:ext>
          </a:extLst>
        </xdr:cNvPr>
        <xdr:cNvSpPr txBox="1"/>
      </xdr:nvSpPr>
      <xdr:spPr>
        <a:xfrm>
          <a:off x="1739900" y="5829300"/>
          <a:ext cx="12319000" cy="3152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1181100</xdr:colOff>
      <xdr:row>12</xdr:row>
      <xdr:rowOff>165099</xdr:rowOff>
    </xdr:from>
    <xdr:to>
      <xdr:col>7</xdr:col>
      <xdr:colOff>1193800</xdr:colOff>
      <xdr:row>12</xdr:row>
      <xdr:rowOff>493058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9418EC8-8403-0640-BD70-EA3AD7ACBC90}"/>
            </a:ext>
          </a:extLst>
        </xdr:cNvPr>
        <xdr:cNvSpPr txBox="1"/>
      </xdr:nvSpPr>
      <xdr:spPr>
        <a:xfrm>
          <a:off x="1714500" y="7086599"/>
          <a:ext cx="12395200" cy="3279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1155700</xdr:colOff>
      <xdr:row>14</xdr:row>
      <xdr:rowOff>177800</xdr:rowOff>
    </xdr:from>
    <xdr:to>
      <xdr:col>7</xdr:col>
      <xdr:colOff>1193800</xdr:colOff>
      <xdr:row>14</xdr:row>
      <xdr:rowOff>508000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1689100" y="8369300"/>
          <a:ext cx="12420600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25401</xdr:colOff>
      <xdr:row>10</xdr:row>
      <xdr:rowOff>177801</xdr:rowOff>
    </xdr:from>
    <xdr:to>
      <xdr:col>2</xdr:col>
      <xdr:colOff>1206501</xdr:colOff>
      <xdr:row>10</xdr:row>
      <xdr:rowOff>493059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91D553-6827-1647-AC3A-A5746B869D38}"/>
            </a:ext>
          </a:extLst>
        </xdr:cNvPr>
        <xdr:cNvSpPr txBox="1"/>
      </xdr:nvSpPr>
      <xdr:spPr>
        <a:xfrm>
          <a:off x="558801" y="5829301"/>
          <a:ext cx="1181100" cy="31525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1143000</xdr:colOff>
      <xdr:row>10</xdr:row>
      <xdr:rowOff>177800</xdr:rowOff>
    </xdr:from>
    <xdr:to>
      <xdr:col>8</xdr:col>
      <xdr:colOff>2463799</xdr:colOff>
      <xdr:row>10</xdr:row>
      <xdr:rowOff>493059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FEBC169-511B-6242-96D4-90C11DFF55C1}"/>
            </a:ext>
          </a:extLst>
        </xdr:cNvPr>
        <xdr:cNvSpPr txBox="1"/>
      </xdr:nvSpPr>
      <xdr:spPr>
        <a:xfrm>
          <a:off x="14058900" y="5829300"/>
          <a:ext cx="3797299" cy="3152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2</xdr:col>
      <xdr:colOff>1155700</xdr:colOff>
      <xdr:row>14</xdr:row>
      <xdr:rowOff>493059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2071F72-7D3A-924E-8DDE-BE5C4B0F6DC8}"/>
            </a:ext>
          </a:extLst>
        </xdr:cNvPr>
        <xdr:cNvSpPr txBox="1"/>
      </xdr:nvSpPr>
      <xdr:spPr>
        <a:xfrm>
          <a:off x="546100" y="8369300"/>
          <a:ext cx="1143000" cy="3152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1155700</xdr:colOff>
      <xdr:row>16</xdr:row>
      <xdr:rowOff>177800</xdr:rowOff>
    </xdr:from>
    <xdr:to>
      <xdr:col>3</xdr:col>
      <xdr:colOff>12700</xdr:colOff>
      <xdr:row>16</xdr:row>
      <xdr:rowOff>495300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EF31940-3F07-DE45-9878-4E64FEBA675C}"/>
            </a:ext>
          </a:extLst>
        </xdr:cNvPr>
        <xdr:cNvSpPr txBox="1"/>
      </xdr:nvSpPr>
      <xdr:spPr>
        <a:xfrm>
          <a:off x="1689100" y="9639300"/>
          <a:ext cx="1333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2421340</xdr:colOff>
      <xdr:row>30</xdr:row>
      <xdr:rowOff>81960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5E350D-1426-4A4F-9739-29405046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8353" y="13820588"/>
          <a:ext cx="2421340" cy="1157725"/>
        </a:xfrm>
        <a:prstGeom prst="rect">
          <a:avLst/>
        </a:prstGeom>
      </xdr:spPr>
    </xdr:pic>
    <xdr:clientData/>
  </xdr:twoCellAnchor>
  <xdr:twoCellAnchor editAs="oneCell">
    <xdr:from>
      <xdr:col>7</xdr:col>
      <xdr:colOff>2151529</xdr:colOff>
      <xdr:row>1</xdr:row>
      <xdr:rowOff>627530</xdr:rowOff>
    </xdr:from>
    <xdr:to>
      <xdr:col>8</xdr:col>
      <xdr:colOff>2123632</xdr:colOff>
      <xdr:row>3</xdr:row>
      <xdr:rowOff>588134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4FF111-45CE-1E43-B757-C5687CB8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90588" y="821765"/>
          <a:ext cx="2452338" cy="1170840"/>
        </a:xfrm>
        <a:prstGeom prst="rect">
          <a:avLst/>
        </a:prstGeom>
      </xdr:spPr>
    </xdr:pic>
    <xdr:clientData/>
  </xdr:twoCellAnchor>
  <xdr:twoCellAnchor>
    <xdr:from>
      <xdr:col>8</xdr:col>
      <xdr:colOff>14941</xdr:colOff>
      <xdr:row>6</xdr:row>
      <xdr:rowOff>209176</xdr:rowOff>
    </xdr:from>
    <xdr:to>
      <xdr:col>9</xdr:col>
      <xdr:colOff>0</xdr:colOff>
      <xdr:row>6</xdr:row>
      <xdr:rowOff>509493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23C081-C362-F94A-AD91-221EF9883453}"/>
            </a:ext>
          </a:extLst>
        </xdr:cNvPr>
        <xdr:cNvSpPr txBox="1"/>
      </xdr:nvSpPr>
      <xdr:spPr>
        <a:xfrm>
          <a:off x="15434235" y="3331882"/>
          <a:ext cx="2465294" cy="30031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25401</xdr:colOff>
      <xdr:row>8</xdr:row>
      <xdr:rowOff>164353</xdr:rowOff>
    </xdr:from>
    <xdr:to>
      <xdr:col>2</xdr:col>
      <xdr:colOff>1240118</xdr:colOff>
      <xdr:row>8</xdr:row>
      <xdr:rowOff>478117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962F9F-8DD9-5547-8491-3F2D43892BA0}"/>
            </a:ext>
          </a:extLst>
        </xdr:cNvPr>
        <xdr:cNvSpPr txBox="1"/>
      </xdr:nvSpPr>
      <xdr:spPr>
        <a:xfrm>
          <a:off x="563283" y="4557059"/>
          <a:ext cx="1214717" cy="31376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25401</xdr:colOff>
      <xdr:row>12</xdr:row>
      <xdr:rowOff>165100</xdr:rowOff>
    </xdr:from>
    <xdr:to>
      <xdr:col>2</xdr:col>
      <xdr:colOff>1206501</xdr:colOff>
      <xdr:row>12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1F9693E-A6D9-424B-9C4E-0151A1A03C25}"/>
            </a:ext>
          </a:extLst>
        </xdr:cNvPr>
        <xdr:cNvSpPr txBox="1"/>
      </xdr:nvSpPr>
      <xdr:spPr>
        <a:xfrm>
          <a:off x="558801" y="7086600"/>
          <a:ext cx="1181100" cy="3301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177800</xdr:rowOff>
    </xdr:from>
    <xdr:to>
      <xdr:col>2</xdr:col>
      <xdr:colOff>1155700</xdr:colOff>
      <xdr:row>16</xdr:row>
      <xdr:rowOff>493059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0A93B90-E57B-BB4B-88B3-E6CF7203BFF0}"/>
            </a:ext>
          </a:extLst>
        </xdr:cNvPr>
        <xdr:cNvSpPr txBox="1"/>
      </xdr:nvSpPr>
      <xdr:spPr>
        <a:xfrm>
          <a:off x="546100" y="8369300"/>
          <a:ext cx="1143000" cy="3152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2465295</xdr:colOff>
      <xdr:row>6</xdr:row>
      <xdr:rowOff>165099</xdr:rowOff>
    </xdr:from>
    <xdr:to>
      <xdr:col>7</xdr:col>
      <xdr:colOff>1195294</xdr:colOff>
      <xdr:row>6</xdr:row>
      <xdr:rowOff>552822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185B3-01BA-E747-8124-1F9D45BA5993}"/>
            </a:ext>
          </a:extLst>
        </xdr:cNvPr>
        <xdr:cNvSpPr txBox="1"/>
      </xdr:nvSpPr>
      <xdr:spPr>
        <a:xfrm>
          <a:off x="3003177" y="3287805"/>
          <a:ext cx="11131176" cy="38772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179294</xdr:rowOff>
    </xdr:from>
    <xdr:to>
      <xdr:col>7</xdr:col>
      <xdr:colOff>1135529</xdr:colOff>
      <xdr:row>10</xdr:row>
      <xdr:rowOff>537882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F6388E9-778B-B948-8D1F-90399B1DB8EA}"/>
            </a:ext>
          </a:extLst>
        </xdr:cNvPr>
        <xdr:cNvSpPr txBox="1"/>
      </xdr:nvSpPr>
      <xdr:spPr>
        <a:xfrm>
          <a:off x="550582" y="5842000"/>
          <a:ext cx="13524006" cy="35858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25648</xdr:colOff>
      <xdr:row>14</xdr:row>
      <xdr:rowOff>179294</xdr:rowOff>
    </xdr:from>
    <xdr:to>
      <xdr:col>6</xdr:col>
      <xdr:colOff>29882</xdr:colOff>
      <xdr:row>14</xdr:row>
      <xdr:rowOff>522940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6CCEBBA-8FA8-C641-835F-4889A2F966D3}"/>
            </a:ext>
          </a:extLst>
        </xdr:cNvPr>
        <xdr:cNvSpPr txBox="1"/>
      </xdr:nvSpPr>
      <xdr:spPr>
        <a:xfrm>
          <a:off x="563530" y="8382000"/>
          <a:ext cx="9925176" cy="34364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1180353</xdr:colOff>
      <xdr:row>8</xdr:row>
      <xdr:rowOff>179294</xdr:rowOff>
    </xdr:from>
    <xdr:to>
      <xdr:col>7</xdr:col>
      <xdr:colOff>1195294</xdr:colOff>
      <xdr:row>8</xdr:row>
      <xdr:rowOff>522939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AD1FC4-A30F-3542-B264-996EA16B1C7F}"/>
            </a:ext>
          </a:extLst>
        </xdr:cNvPr>
        <xdr:cNvSpPr txBox="1"/>
      </xdr:nvSpPr>
      <xdr:spPr>
        <a:xfrm>
          <a:off x="1718235" y="4572000"/>
          <a:ext cx="12416118" cy="34364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1180353</xdr:colOff>
      <xdr:row>6</xdr:row>
      <xdr:rowOff>165099</xdr:rowOff>
    </xdr:from>
    <xdr:to>
      <xdr:col>8</xdr:col>
      <xdr:colOff>2463800</xdr:colOff>
      <xdr:row>6</xdr:row>
      <xdr:rowOff>552822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E458FD-E528-F147-A3BC-DB22CC567FA8}"/>
            </a:ext>
          </a:extLst>
        </xdr:cNvPr>
        <xdr:cNvSpPr txBox="1"/>
      </xdr:nvSpPr>
      <xdr:spPr>
        <a:xfrm>
          <a:off x="14119412" y="3287805"/>
          <a:ext cx="3763682" cy="38772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1120588</xdr:colOff>
      <xdr:row>10</xdr:row>
      <xdr:rowOff>177800</xdr:rowOff>
    </xdr:from>
    <xdr:to>
      <xdr:col>8</xdr:col>
      <xdr:colOff>2480234</xdr:colOff>
      <xdr:row>10</xdr:row>
      <xdr:rowOff>537881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AED4F4E-CB3D-C041-9378-677600D2F4A1}"/>
            </a:ext>
          </a:extLst>
        </xdr:cNvPr>
        <xdr:cNvSpPr txBox="1"/>
      </xdr:nvSpPr>
      <xdr:spPr>
        <a:xfrm>
          <a:off x="14059647" y="5840506"/>
          <a:ext cx="3839881" cy="36008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1150470</xdr:colOff>
      <xdr:row>12</xdr:row>
      <xdr:rowOff>164354</xdr:rowOff>
    </xdr:from>
    <xdr:to>
      <xdr:col>9</xdr:col>
      <xdr:colOff>14942</xdr:colOff>
      <xdr:row>12</xdr:row>
      <xdr:rowOff>508000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9E3DD12-86F9-8447-8943-6745779D85F3}"/>
            </a:ext>
          </a:extLst>
        </xdr:cNvPr>
        <xdr:cNvSpPr txBox="1"/>
      </xdr:nvSpPr>
      <xdr:spPr>
        <a:xfrm>
          <a:off x="14089529" y="7097060"/>
          <a:ext cx="3824942" cy="34364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179293</xdr:rowOff>
    </xdr:from>
    <xdr:to>
      <xdr:col>2</xdr:col>
      <xdr:colOff>1210236</xdr:colOff>
      <xdr:row>8</xdr:row>
      <xdr:rowOff>522940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8F753D3-A417-F347-92A0-1E32D3ECD719}"/>
            </a:ext>
          </a:extLst>
        </xdr:cNvPr>
        <xdr:cNvSpPr txBox="1"/>
      </xdr:nvSpPr>
      <xdr:spPr>
        <a:xfrm>
          <a:off x="550582" y="4571999"/>
          <a:ext cx="1197536" cy="3436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1195293</xdr:colOff>
      <xdr:row>8</xdr:row>
      <xdr:rowOff>179294</xdr:rowOff>
    </xdr:from>
    <xdr:to>
      <xdr:col>8</xdr:col>
      <xdr:colOff>2465293</xdr:colOff>
      <xdr:row>8</xdr:row>
      <xdr:rowOff>522941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5CE4E04-7FF1-B947-8B34-953F16915C1C}"/>
            </a:ext>
          </a:extLst>
        </xdr:cNvPr>
        <xdr:cNvSpPr txBox="1"/>
      </xdr:nvSpPr>
      <xdr:spPr>
        <a:xfrm>
          <a:off x="14134352" y="4572000"/>
          <a:ext cx="3750235" cy="3436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2151530</xdr:colOff>
      <xdr:row>1</xdr:row>
      <xdr:rowOff>627530</xdr:rowOff>
    </xdr:from>
    <xdr:to>
      <xdr:col>8</xdr:col>
      <xdr:colOff>2123633</xdr:colOff>
      <xdr:row>3</xdr:row>
      <xdr:rowOff>588134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EC338-A778-FD46-A437-C5E09E48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0589" y="821765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10</xdr:row>
      <xdr:rowOff>179293</xdr:rowOff>
    </xdr:from>
    <xdr:to>
      <xdr:col>2</xdr:col>
      <xdr:colOff>1210236</xdr:colOff>
      <xdr:row>10</xdr:row>
      <xdr:rowOff>522940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7CC5F8-17D3-C648-AA71-9A3B771CDB35}"/>
            </a:ext>
          </a:extLst>
        </xdr:cNvPr>
        <xdr:cNvSpPr txBox="1"/>
      </xdr:nvSpPr>
      <xdr:spPr>
        <a:xfrm>
          <a:off x="550582" y="4571999"/>
          <a:ext cx="1197536" cy="3436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179293</xdr:rowOff>
    </xdr:from>
    <xdr:to>
      <xdr:col>2</xdr:col>
      <xdr:colOff>1210236</xdr:colOff>
      <xdr:row>12</xdr:row>
      <xdr:rowOff>522940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BD33AC2-634F-A640-9FF6-02104A260BCE}"/>
            </a:ext>
          </a:extLst>
        </xdr:cNvPr>
        <xdr:cNvSpPr txBox="1"/>
      </xdr:nvSpPr>
      <xdr:spPr>
        <a:xfrm>
          <a:off x="550582" y="5841999"/>
          <a:ext cx="1197536" cy="3436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1210236</xdr:colOff>
      <xdr:row>12</xdr:row>
      <xdr:rowOff>164354</xdr:rowOff>
    </xdr:from>
    <xdr:to>
      <xdr:col>7</xdr:col>
      <xdr:colOff>1135529</xdr:colOff>
      <xdr:row>12</xdr:row>
      <xdr:rowOff>522942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5071A-0389-2542-8EBA-50528CBDAE25}"/>
            </a:ext>
          </a:extLst>
        </xdr:cNvPr>
        <xdr:cNvSpPr txBox="1"/>
      </xdr:nvSpPr>
      <xdr:spPr>
        <a:xfrm>
          <a:off x="1748118" y="7097060"/>
          <a:ext cx="12326470" cy="35858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179293</xdr:rowOff>
    </xdr:from>
    <xdr:to>
      <xdr:col>2</xdr:col>
      <xdr:colOff>1210236</xdr:colOff>
      <xdr:row>14</xdr:row>
      <xdr:rowOff>522940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2704151-883A-6E47-94D7-2717ABB81315}"/>
            </a:ext>
          </a:extLst>
        </xdr:cNvPr>
        <xdr:cNvSpPr txBox="1"/>
      </xdr:nvSpPr>
      <xdr:spPr>
        <a:xfrm>
          <a:off x="550582" y="7111999"/>
          <a:ext cx="1197536" cy="3436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1295400</xdr:colOff>
      <xdr:row>6</xdr:row>
      <xdr:rowOff>203200</xdr:rowOff>
    </xdr:from>
    <xdr:to>
      <xdr:col>9</xdr:col>
      <xdr:colOff>0</xdr:colOff>
      <xdr:row>6</xdr:row>
      <xdr:rowOff>524933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72BD9E5-F6EB-6E4C-AFF2-1D9820B27623}"/>
            </a:ext>
          </a:extLst>
        </xdr:cNvPr>
        <xdr:cNvSpPr txBox="1"/>
      </xdr:nvSpPr>
      <xdr:spPr>
        <a:xfrm>
          <a:off x="14211300" y="3314700"/>
          <a:ext cx="3657600" cy="3217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1308100</xdr:colOff>
      <xdr:row>10</xdr:row>
      <xdr:rowOff>177800</xdr:rowOff>
    </xdr:from>
    <xdr:to>
      <xdr:col>9</xdr:col>
      <xdr:colOff>4232</xdr:colOff>
      <xdr:row>10</xdr:row>
      <xdr:rowOff>507999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20B1223-4B6F-784D-BC2A-5246414E3492}"/>
            </a:ext>
          </a:extLst>
        </xdr:cNvPr>
        <xdr:cNvSpPr txBox="1"/>
      </xdr:nvSpPr>
      <xdr:spPr>
        <a:xfrm>
          <a:off x="14224000" y="5829300"/>
          <a:ext cx="3649132" cy="3301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12</xdr:row>
      <xdr:rowOff>182033</xdr:rowOff>
    </xdr:from>
    <xdr:to>
      <xdr:col>8</xdr:col>
      <xdr:colOff>2463800</xdr:colOff>
      <xdr:row>12</xdr:row>
      <xdr:rowOff>495300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B7174D0-0E7C-6840-AA45-AD264D70AA39}"/>
            </a:ext>
          </a:extLst>
        </xdr:cNvPr>
        <xdr:cNvSpPr txBox="1"/>
      </xdr:nvSpPr>
      <xdr:spPr>
        <a:xfrm>
          <a:off x="14173200" y="7103533"/>
          <a:ext cx="3683000" cy="31326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190500</xdr:rowOff>
    </xdr:from>
    <xdr:to>
      <xdr:col>7</xdr:col>
      <xdr:colOff>1295400</xdr:colOff>
      <xdr:row>8</xdr:row>
      <xdr:rowOff>508000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6205BA-8182-DE46-90DE-DB8BC32C9C3F}"/>
            </a:ext>
          </a:extLst>
        </xdr:cNvPr>
        <xdr:cNvSpPr txBox="1"/>
      </xdr:nvSpPr>
      <xdr:spPr>
        <a:xfrm>
          <a:off x="1790700" y="4572000"/>
          <a:ext cx="1242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8466</xdr:colOff>
      <xdr:row>10</xdr:row>
      <xdr:rowOff>177800</xdr:rowOff>
    </xdr:from>
    <xdr:to>
      <xdr:col>7</xdr:col>
      <xdr:colOff>1308100</xdr:colOff>
      <xdr:row>10</xdr:row>
      <xdr:rowOff>508000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B0D59D-83EA-674A-B7D2-A7B524812657}"/>
            </a:ext>
          </a:extLst>
        </xdr:cNvPr>
        <xdr:cNvSpPr txBox="1"/>
      </xdr:nvSpPr>
      <xdr:spPr>
        <a:xfrm>
          <a:off x="541866" y="5829300"/>
          <a:ext cx="13682134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12</xdr:row>
      <xdr:rowOff>177799</xdr:rowOff>
    </xdr:from>
    <xdr:to>
      <xdr:col>7</xdr:col>
      <xdr:colOff>1257300</xdr:colOff>
      <xdr:row>12</xdr:row>
      <xdr:rowOff>486833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C9C382-83F5-7D4D-9A43-A8F0E2201F72}"/>
            </a:ext>
          </a:extLst>
        </xdr:cNvPr>
        <xdr:cNvSpPr txBox="1"/>
      </xdr:nvSpPr>
      <xdr:spPr>
        <a:xfrm>
          <a:off x="1752600" y="7099299"/>
          <a:ext cx="12420600" cy="30903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14</xdr:row>
      <xdr:rowOff>165100</xdr:rowOff>
    </xdr:from>
    <xdr:to>
      <xdr:col>7</xdr:col>
      <xdr:colOff>1282700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174E2D-770C-344F-B573-C48C3040F84F}"/>
            </a:ext>
          </a:extLst>
        </xdr:cNvPr>
        <xdr:cNvSpPr txBox="1"/>
      </xdr:nvSpPr>
      <xdr:spPr>
        <a:xfrm>
          <a:off x="1752600" y="8356600"/>
          <a:ext cx="12446000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14</xdr:row>
      <xdr:rowOff>165101</xdr:rowOff>
    </xdr:from>
    <xdr:to>
      <xdr:col>8</xdr:col>
      <xdr:colOff>12699</xdr:colOff>
      <xdr:row>14</xdr:row>
      <xdr:rowOff>495301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C5C8B56-0FD3-1B4D-8F28-DAE9BE75B5D5}"/>
            </a:ext>
          </a:extLst>
        </xdr:cNvPr>
        <xdr:cNvSpPr txBox="1"/>
      </xdr:nvSpPr>
      <xdr:spPr>
        <a:xfrm>
          <a:off x="14198600" y="8356601"/>
          <a:ext cx="1206499" cy="3302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8466</xdr:colOff>
      <xdr:row>8</xdr:row>
      <xdr:rowOff>190500</xdr:rowOff>
    </xdr:from>
    <xdr:to>
      <xdr:col>2</xdr:col>
      <xdr:colOff>1244600</xdr:colOff>
      <xdr:row>8</xdr:row>
      <xdr:rowOff>508000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B0C3C0D-2666-2444-8A6F-3F8D42DEBDBB}"/>
            </a:ext>
          </a:extLst>
        </xdr:cNvPr>
        <xdr:cNvSpPr txBox="1"/>
      </xdr:nvSpPr>
      <xdr:spPr>
        <a:xfrm>
          <a:off x="541866" y="4572000"/>
          <a:ext cx="1236134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16933</xdr:colOff>
      <xdr:row>12</xdr:row>
      <xdr:rowOff>173567</xdr:rowOff>
    </xdr:from>
    <xdr:to>
      <xdr:col>2</xdr:col>
      <xdr:colOff>1219200</xdr:colOff>
      <xdr:row>12</xdr:row>
      <xdr:rowOff>491067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34C6A9D-9841-0543-A86D-93D61975D731}"/>
            </a:ext>
          </a:extLst>
        </xdr:cNvPr>
        <xdr:cNvSpPr txBox="1"/>
      </xdr:nvSpPr>
      <xdr:spPr>
        <a:xfrm>
          <a:off x="550333" y="7095067"/>
          <a:ext cx="1202267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3C4A97-9E32-4D4A-B479-40915110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203200</xdr:rowOff>
    </xdr:from>
    <xdr:to>
      <xdr:col>7</xdr:col>
      <xdr:colOff>1320800</xdr:colOff>
      <xdr:row>6</xdr:row>
      <xdr:rowOff>533400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52D04F-7168-744A-A67E-1393116D98DD}"/>
            </a:ext>
          </a:extLst>
        </xdr:cNvPr>
        <xdr:cNvSpPr txBox="1"/>
      </xdr:nvSpPr>
      <xdr:spPr>
        <a:xfrm>
          <a:off x="10439400" y="3314700"/>
          <a:ext cx="3797300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8</xdr:row>
      <xdr:rowOff>190500</xdr:rowOff>
    </xdr:from>
    <xdr:to>
      <xdr:col>8</xdr:col>
      <xdr:colOff>2463800</xdr:colOff>
      <xdr:row>8</xdr:row>
      <xdr:rowOff>512233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EC4CEEB-D05D-6341-8B27-256E344E91FD}"/>
            </a:ext>
          </a:extLst>
        </xdr:cNvPr>
        <xdr:cNvSpPr txBox="1"/>
      </xdr:nvSpPr>
      <xdr:spPr>
        <a:xfrm>
          <a:off x="14198600" y="4572000"/>
          <a:ext cx="3657600" cy="3217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8466</xdr:colOff>
      <xdr:row>10</xdr:row>
      <xdr:rowOff>190500</xdr:rowOff>
    </xdr:from>
    <xdr:to>
      <xdr:col>2</xdr:col>
      <xdr:colOff>1244600</xdr:colOff>
      <xdr:row>10</xdr:row>
      <xdr:rowOff>508000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75EE5AA-D3CD-EB46-8F4B-4A459885ABA0}"/>
            </a:ext>
          </a:extLst>
        </xdr:cNvPr>
        <xdr:cNvSpPr txBox="1"/>
      </xdr:nvSpPr>
      <xdr:spPr>
        <a:xfrm>
          <a:off x="541866" y="4572000"/>
          <a:ext cx="1236134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16933</xdr:colOff>
      <xdr:row>14</xdr:row>
      <xdr:rowOff>173567</xdr:rowOff>
    </xdr:from>
    <xdr:to>
      <xdr:col>2</xdr:col>
      <xdr:colOff>1219200</xdr:colOff>
      <xdr:row>14</xdr:row>
      <xdr:rowOff>491067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C47FE6E-CF44-2546-8D12-897CD9E3452F}"/>
            </a:ext>
          </a:extLst>
        </xdr:cNvPr>
        <xdr:cNvSpPr txBox="1"/>
      </xdr:nvSpPr>
      <xdr:spPr>
        <a:xfrm>
          <a:off x="550333" y="7095067"/>
          <a:ext cx="1202267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258430</xdr:colOff>
      <xdr:row>10</xdr:row>
      <xdr:rowOff>165100</xdr:rowOff>
    </xdr:from>
    <xdr:to>
      <xdr:col>7</xdr:col>
      <xdr:colOff>1295400</xdr:colOff>
      <xdr:row>10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80F5A8-C3A5-7E41-A511-43096C23D6F1}"/>
            </a:ext>
          </a:extLst>
        </xdr:cNvPr>
        <xdr:cNvSpPr txBox="1"/>
      </xdr:nvSpPr>
      <xdr:spPr>
        <a:xfrm>
          <a:off x="525130" y="5816600"/>
          <a:ext cx="13686170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21898</xdr:colOff>
      <xdr:row>14</xdr:row>
      <xdr:rowOff>177800</xdr:rowOff>
    </xdr:from>
    <xdr:to>
      <xdr:col>7</xdr:col>
      <xdr:colOff>1282700</xdr:colOff>
      <xdr:row>14</xdr:row>
      <xdr:rowOff>584200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B0A8D8-157A-4148-A2EF-620916A81195}"/>
            </a:ext>
          </a:extLst>
        </xdr:cNvPr>
        <xdr:cNvSpPr txBox="1"/>
      </xdr:nvSpPr>
      <xdr:spPr>
        <a:xfrm>
          <a:off x="555298" y="8369300"/>
          <a:ext cx="13643302" cy="4064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1155700</xdr:colOff>
      <xdr:row>12</xdr:row>
      <xdr:rowOff>177209</xdr:rowOff>
    </xdr:from>
    <xdr:to>
      <xdr:col>7</xdr:col>
      <xdr:colOff>1295399</xdr:colOff>
      <xdr:row>12</xdr:row>
      <xdr:rowOff>575733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1689100" y="7098709"/>
          <a:ext cx="12522199" cy="39852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1130300</xdr:colOff>
      <xdr:row>8</xdr:row>
      <xdr:rowOff>191975</xdr:rowOff>
    </xdr:from>
    <xdr:to>
      <xdr:col>7</xdr:col>
      <xdr:colOff>1269999</xdr:colOff>
      <xdr:row>8</xdr:row>
      <xdr:rowOff>524932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429B44-56F4-394D-957D-7138032256DD}"/>
            </a:ext>
          </a:extLst>
        </xdr:cNvPr>
        <xdr:cNvSpPr txBox="1"/>
      </xdr:nvSpPr>
      <xdr:spPr>
        <a:xfrm>
          <a:off x="1663700" y="4573475"/>
          <a:ext cx="12522199" cy="3329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10</xdr:row>
      <xdr:rowOff>165100</xdr:rowOff>
    </xdr:from>
    <xdr:to>
      <xdr:col>8</xdr:col>
      <xdr:colOff>2466162</xdr:colOff>
      <xdr:row>10</xdr:row>
      <xdr:rowOff>508000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76A7E44-97DC-6746-9DAE-45D13AF17707}"/>
            </a:ext>
          </a:extLst>
        </xdr:cNvPr>
        <xdr:cNvSpPr txBox="1"/>
      </xdr:nvSpPr>
      <xdr:spPr>
        <a:xfrm>
          <a:off x="14185900" y="5816600"/>
          <a:ext cx="3672662" cy="3429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8</xdr:row>
      <xdr:rowOff>199695</xdr:rowOff>
    </xdr:from>
    <xdr:to>
      <xdr:col>8</xdr:col>
      <xdr:colOff>2463800</xdr:colOff>
      <xdr:row>8</xdr:row>
      <xdr:rowOff>524933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69310B-B9A0-5041-B75D-C5861CADF0BF}"/>
            </a:ext>
          </a:extLst>
        </xdr:cNvPr>
        <xdr:cNvSpPr txBox="1"/>
      </xdr:nvSpPr>
      <xdr:spPr>
        <a:xfrm>
          <a:off x="14173200" y="4581195"/>
          <a:ext cx="3683000" cy="32523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12</xdr:row>
      <xdr:rowOff>184591</xdr:rowOff>
    </xdr:from>
    <xdr:to>
      <xdr:col>9</xdr:col>
      <xdr:colOff>0</xdr:colOff>
      <xdr:row>12</xdr:row>
      <xdr:rowOff>575732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2163A74-3965-964E-B64E-A75707242AB1}"/>
            </a:ext>
          </a:extLst>
        </xdr:cNvPr>
        <xdr:cNvSpPr txBox="1"/>
      </xdr:nvSpPr>
      <xdr:spPr>
        <a:xfrm>
          <a:off x="14185900" y="7106091"/>
          <a:ext cx="3683000" cy="39114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14</xdr:row>
      <xdr:rowOff>177799</xdr:rowOff>
    </xdr:from>
    <xdr:to>
      <xdr:col>9</xdr:col>
      <xdr:colOff>4628</xdr:colOff>
      <xdr:row>14</xdr:row>
      <xdr:rowOff>584200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7E06F3-D8F6-A949-918A-DF2C8DEAE00C}"/>
            </a:ext>
          </a:extLst>
        </xdr:cNvPr>
        <xdr:cNvSpPr txBox="1"/>
      </xdr:nvSpPr>
      <xdr:spPr>
        <a:xfrm>
          <a:off x="14173200" y="8369299"/>
          <a:ext cx="3700328" cy="4064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7384</xdr:colOff>
      <xdr:row>12</xdr:row>
      <xdr:rowOff>177799</xdr:rowOff>
    </xdr:from>
    <xdr:to>
      <xdr:col>2</xdr:col>
      <xdr:colOff>1155700</xdr:colOff>
      <xdr:row>12</xdr:row>
      <xdr:rowOff>575732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C4B1A8-E762-BB41-96C5-C9E0D7F7B66D}"/>
            </a:ext>
          </a:extLst>
        </xdr:cNvPr>
        <xdr:cNvSpPr txBox="1"/>
      </xdr:nvSpPr>
      <xdr:spPr>
        <a:xfrm>
          <a:off x="540784" y="7099299"/>
          <a:ext cx="1148316" cy="3979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10671</xdr:colOff>
      <xdr:row>6</xdr:row>
      <xdr:rowOff>289472</xdr:rowOff>
    </xdr:from>
    <xdr:to>
      <xdr:col>8</xdr:col>
      <xdr:colOff>2466162</xdr:colOff>
      <xdr:row>6</xdr:row>
      <xdr:rowOff>613103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D17C7B-44C6-EB45-A3AA-4298450AF418}"/>
            </a:ext>
          </a:extLst>
        </xdr:cNvPr>
        <xdr:cNvSpPr txBox="1"/>
      </xdr:nvSpPr>
      <xdr:spPr>
        <a:xfrm>
          <a:off x="15383578" y="3398019"/>
          <a:ext cx="2455491" cy="32363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7385</xdr:colOff>
      <xdr:row>8</xdr:row>
      <xdr:rowOff>189185</xdr:rowOff>
    </xdr:from>
    <xdr:to>
      <xdr:col>2</xdr:col>
      <xdr:colOff>1143001</xdr:colOff>
      <xdr:row>8</xdr:row>
      <xdr:rowOff>524932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43E768B-C011-5A4B-AA44-EFA6ECDAF9F4}"/>
            </a:ext>
          </a:extLst>
        </xdr:cNvPr>
        <xdr:cNvSpPr txBox="1"/>
      </xdr:nvSpPr>
      <xdr:spPr>
        <a:xfrm>
          <a:off x="540785" y="4570685"/>
          <a:ext cx="1135616" cy="3357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6981</xdr:colOff>
      <xdr:row>16</xdr:row>
      <xdr:rowOff>212829</xdr:rowOff>
    </xdr:from>
    <xdr:to>
      <xdr:col>2</xdr:col>
      <xdr:colOff>1168401</xdr:colOff>
      <xdr:row>16</xdr:row>
      <xdr:rowOff>575733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D32C872-FACE-FD47-B9AD-407559D33479}"/>
            </a:ext>
          </a:extLst>
        </xdr:cNvPr>
        <xdr:cNvSpPr txBox="1"/>
      </xdr:nvSpPr>
      <xdr:spPr>
        <a:xfrm>
          <a:off x="540381" y="9674329"/>
          <a:ext cx="1161420" cy="36290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1181100</xdr:colOff>
      <xdr:row>16</xdr:row>
      <xdr:rowOff>212982</xdr:rowOff>
    </xdr:from>
    <xdr:to>
      <xdr:col>4</xdr:col>
      <xdr:colOff>15777</xdr:colOff>
      <xdr:row>16</xdr:row>
      <xdr:rowOff>584200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00D737F-AE57-1249-B761-83F3ACF526CB}"/>
            </a:ext>
          </a:extLst>
        </xdr:cNvPr>
        <xdr:cNvSpPr txBox="1"/>
      </xdr:nvSpPr>
      <xdr:spPr>
        <a:xfrm>
          <a:off x="1714500" y="9674482"/>
          <a:ext cx="3787677" cy="3712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2184400</xdr:colOff>
      <xdr:row>1</xdr:row>
      <xdr:rowOff>643466</xdr:rowOff>
    </xdr:from>
    <xdr:to>
      <xdr:col>8</xdr:col>
      <xdr:colOff>2164471</xdr:colOff>
      <xdr:row>3</xdr:row>
      <xdr:rowOff>612040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499E5-1978-AF47-B001-3FEF50CFA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9733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7385</xdr:colOff>
      <xdr:row>10</xdr:row>
      <xdr:rowOff>163785</xdr:rowOff>
    </xdr:from>
    <xdr:to>
      <xdr:col>2</xdr:col>
      <xdr:colOff>1143001</xdr:colOff>
      <xdr:row>10</xdr:row>
      <xdr:rowOff>499532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1249E3-0F29-C348-A5F0-D5AC46A4D1C7}"/>
            </a:ext>
          </a:extLst>
        </xdr:cNvPr>
        <xdr:cNvSpPr txBox="1"/>
      </xdr:nvSpPr>
      <xdr:spPr>
        <a:xfrm>
          <a:off x="540785" y="5815285"/>
          <a:ext cx="1135616" cy="3357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7384</xdr:colOff>
      <xdr:row>14</xdr:row>
      <xdr:rowOff>177799</xdr:rowOff>
    </xdr:from>
    <xdr:to>
      <xdr:col>2</xdr:col>
      <xdr:colOff>1155700</xdr:colOff>
      <xdr:row>14</xdr:row>
      <xdr:rowOff>575732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6510FC-FD61-964A-A6AC-F7FA3E2E78C4}"/>
            </a:ext>
          </a:extLst>
        </xdr:cNvPr>
        <xdr:cNvSpPr txBox="1"/>
      </xdr:nvSpPr>
      <xdr:spPr>
        <a:xfrm>
          <a:off x="540784" y="7099299"/>
          <a:ext cx="1148316" cy="3979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1197841</xdr:colOff>
      <xdr:row>10</xdr:row>
      <xdr:rowOff>245341</xdr:rowOff>
    </xdr:from>
    <xdr:to>
      <xdr:col>8</xdr:col>
      <xdr:colOff>2467840</xdr:colOff>
      <xdr:row>10</xdr:row>
      <xdr:rowOff>548408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8C63E75-C2FB-EA4C-99EA-AB4487F4E5F9}"/>
            </a:ext>
          </a:extLst>
        </xdr:cNvPr>
        <xdr:cNvSpPr txBox="1"/>
      </xdr:nvSpPr>
      <xdr:spPr>
        <a:xfrm>
          <a:off x="14128750" y="5902614"/>
          <a:ext cx="3752272" cy="30306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1219199</xdr:colOff>
      <xdr:row>12</xdr:row>
      <xdr:rowOff>191062</xdr:rowOff>
    </xdr:from>
    <xdr:to>
      <xdr:col>8</xdr:col>
      <xdr:colOff>2476498</xdr:colOff>
      <xdr:row>12</xdr:row>
      <xdr:rowOff>519545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C33E9F9-EC86-A24E-B431-B8CBAA6A960B}"/>
            </a:ext>
          </a:extLst>
        </xdr:cNvPr>
        <xdr:cNvSpPr txBox="1"/>
      </xdr:nvSpPr>
      <xdr:spPr>
        <a:xfrm>
          <a:off x="14135099" y="7112562"/>
          <a:ext cx="3733799" cy="32848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1197841</xdr:colOff>
      <xdr:row>8</xdr:row>
      <xdr:rowOff>177799</xdr:rowOff>
    </xdr:from>
    <xdr:to>
      <xdr:col>8</xdr:col>
      <xdr:colOff>2455332</xdr:colOff>
      <xdr:row>8</xdr:row>
      <xdr:rowOff>524932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F353F9-1DE0-0246-808A-17F0ADDD0276}"/>
            </a:ext>
          </a:extLst>
        </xdr:cNvPr>
        <xdr:cNvSpPr txBox="1"/>
      </xdr:nvSpPr>
      <xdr:spPr>
        <a:xfrm>
          <a:off x="14128750" y="4565072"/>
          <a:ext cx="3739764" cy="3471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1212273</xdr:colOff>
      <xdr:row>8</xdr:row>
      <xdr:rowOff>177800</xdr:rowOff>
    </xdr:from>
    <xdr:to>
      <xdr:col>7</xdr:col>
      <xdr:colOff>1197841</xdr:colOff>
      <xdr:row>8</xdr:row>
      <xdr:rowOff>524933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B194E77-6B82-594E-8979-2B6E7A56B12E}"/>
            </a:ext>
          </a:extLst>
        </xdr:cNvPr>
        <xdr:cNvSpPr txBox="1"/>
      </xdr:nvSpPr>
      <xdr:spPr>
        <a:xfrm>
          <a:off x="1731818" y="4565073"/>
          <a:ext cx="12396932" cy="3471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1140115</xdr:colOff>
      <xdr:row>10</xdr:row>
      <xdr:rowOff>245340</xdr:rowOff>
    </xdr:from>
    <xdr:to>
      <xdr:col>7</xdr:col>
      <xdr:colOff>1212273</xdr:colOff>
      <xdr:row>10</xdr:row>
      <xdr:rowOff>548409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1659660" y="5902613"/>
          <a:ext cx="12483522" cy="30306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11239</xdr:colOff>
      <xdr:row>12</xdr:row>
      <xdr:rowOff>182033</xdr:rowOff>
    </xdr:from>
    <xdr:to>
      <xdr:col>7</xdr:col>
      <xdr:colOff>1219200</xdr:colOff>
      <xdr:row>12</xdr:row>
      <xdr:rowOff>519545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E994F9-6A1D-5644-82DF-ED3E5192AA1A}"/>
            </a:ext>
          </a:extLst>
        </xdr:cNvPr>
        <xdr:cNvSpPr txBox="1"/>
      </xdr:nvSpPr>
      <xdr:spPr>
        <a:xfrm>
          <a:off x="544639" y="7103533"/>
          <a:ext cx="13590461" cy="33751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1130300</xdr:colOff>
      <xdr:row>14</xdr:row>
      <xdr:rowOff>177800</xdr:rowOff>
    </xdr:from>
    <xdr:to>
      <xdr:col>7</xdr:col>
      <xdr:colOff>12700</xdr:colOff>
      <xdr:row>14</xdr:row>
      <xdr:rowOff>505113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57B9C8-B121-5C41-ABB6-FD0CF1331AB9}"/>
            </a:ext>
          </a:extLst>
        </xdr:cNvPr>
        <xdr:cNvSpPr txBox="1"/>
      </xdr:nvSpPr>
      <xdr:spPr>
        <a:xfrm>
          <a:off x="1663700" y="8369300"/>
          <a:ext cx="11264900" cy="3273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245341</xdr:rowOff>
    </xdr:from>
    <xdr:to>
      <xdr:col>2</xdr:col>
      <xdr:colOff>1154546</xdr:colOff>
      <xdr:row>10</xdr:row>
      <xdr:rowOff>546100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CD76EB-7183-3148-A0C9-FBB748D8D943}"/>
            </a:ext>
          </a:extLst>
        </xdr:cNvPr>
        <xdr:cNvSpPr txBox="1"/>
      </xdr:nvSpPr>
      <xdr:spPr>
        <a:xfrm>
          <a:off x="558800" y="5896841"/>
          <a:ext cx="1129146" cy="3007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177799</xdr:rowOff>
    </xdr:from>
    <xdr:to>
      <xdr:col>2</xdr:col>
      <xdr:colOff>1143000</xdr:colOff>
      <xdr:row>14</xdr:row>
      <xdr:rowOff>505113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3A3024-84D2-5A41-9A6B-D383D2186270}"/>
            </a:ext>
          </a:extLst>
        </xdr:cNvPr>
        <xdr:cNvSpPr txBox="1"/>
      </xdr:nvSpPr>
      <xdr:spPr>
        <a:xfrm>
          <a:off x="558800" y="8369299"/>
          <a:ext cx="1117600" cy="32731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2164773</xdr:colOff>
      <xdr:row>1</xdr:row>
      <xdr:rowOff>635000</xdr:rowOff>
    </xdr:from>
    <xdr:to>
      <xdr:col>8</xdr:col>
      <xdr:colOff>2134838</xdr:colOff>
      <xdr:row>3</xdr:row>
      <xdr:rowOff>593568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064C6B-0F22-8E4F-9BD1-9867940C7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5682" y="822614"/>
          <a:ext cx="2452338" cy="1170840"/>
        </a:xfrm>
        <a:prstGeom prst="rect">
          <a:avLst/>
        </a:prstGeom>
      </xdr:spPr>
    </xdr:pic>
    <xdr:clientData/>
  </xdr:twoCellAnchor>
  <xdr:twoCellAnchor>
    <xdr:from>
      <xdr:col>7</xdr:col>
      <xdr:colOff>1212273</xdr:colOff>
      <xdr:row>6</xdr:row>
      <xdr:rowOff>173183</xdr:rowOff>
    </xdr:from>
    <xdr:to>
      <xdr:col>9</xdr:col>
      <xdr:colOff>16356</xdr:colOff>
      <xdr:row>6</xdr:row>
      <xdr:rowOff>520316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FF2119-FAF2-BF4F-89E5-AB99D1C614D0}"/>
            </a:ext>
          </a:extLst>
        </xdr:cNvPr>
        <xdr:cNvSpPr txBox="1"/>
      </xdr:nvSpPr>
      <xdr:spPr>
        <a:xfrm>
          <a:off x="14143182" y="3290456"/>
          <a:ext cx="3768629" cy="3471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0</xdr:colOff>
      <xdr:row>6</xdr:row>
      <xdr:rowOff>173182</xdr:rowOff>
    </xdr:from>
    <xdr:to>
      <xdr:col>7</xdr:col>
      <xdr:colOff>1226705</xdr:colOff>
      <xdr:row>6</xdr:row>
      <xdr:rowOff>520315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3BE5C4-61E7-EF4F-9D7C-02F4C4E20A34}"/>
            </a:ext>
          </a:extLst>
        </xdr:cNvPr>
        <xdr:cNvSpPr txBox="1"/>
      </xdr:nvSpPr>
      <xdr:spPr>
        <a:xfrm>
          <a:off x="5484091" y="3290455"/>
          <a:ext cx="8673523" cy="3471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28864</xdr:colOff>
      <xdr:row>8</xdr:row>
      <xdr:rowOff>187613</xdr:rowOff>
    </xdr:from>
    <xdr:to>
      <xdr:col>2</xdr:col>
      <xdr:colOff>1226705</xdr:colOff>
      <xdr:row>8</xdr:row>
      <xdr:rowOff>533976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A88EC2-F63D-804C-846C-9305927D76A0}"/>
            </a:ext>
          </a:extLst>
        </xdr:cNvPr>
        <xdr:cNvSpPr txBox="1"/>
      </xdr:nvSpPr>
      <xdr:spPr>
        <a:xfrm>
          <a:off x="548409" y="4574886"/>
          <a:ext cx="1197841" cy="34636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203200</xdr:rowOff>
    </xdr:from>
    <xdr:to>
      <xdr:col>2</xdr:col>
      <xdr:colOff>1154546</xdr:colOff>
      <xdr:row>12</xdr:row>
      <xdr:rowOff>520700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296028F-4D7D-6946-9D0D-E8E4B5FFF5D3}"/>
            </a:ext>
          </a:extLst>
        </xdr:cNvPr>
        <xdr:cNvSpPr txBox="1"/>
      </xdr:nvSpPr>
      <xdr:spPr>
        <a:xfrm>
          <a:off x="558800" y="7124700"/>
          <a:ext cx="1129146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1219200</xdr:colOff>
      <xdr:row>8</xdr:row>
      <xdr:rowOff>177800</xdr:rowOff>
    </xdr:from>
    <xdr:to>
      <xdr:col>8</xdr:col>
      <xdr:colOff>2465294</xdr:colOff>
      <xdr:row>8</xdr:row>
      <xdr:rowOff>497840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BD63A4C-DCA8-FA40-89AD-03C38AEAD602}"/>
            </a:ext>
          </a:extLst>
        </xdr:cNvPr>
        <xdr:cNvSpPr txBox="1"/>
      </xdr:nvSpPr>
      <xdr:spPr>
        <a:xfrm>
          <a:off x="14135100" y="4559300"/>
          <a:ext cx="3722594" cy="32004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177801</xdr:rowOff>
    </xdr:from>
    <xdr:to>
      <xdr:col>8</xdr:col>
      <xdr:colOff>2463800</xdr:colOff>
      <xdr:row>10</xdr:row>
      <xdr:rowOff>495301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7730E47-5E19-5A4B-A319-69141FB5DA8C}"/>
            </a:ext>
          </a:extLst>
        </xdr:cNvPr>
        <xdr:cNvSpPr txBox="1"/>
      </xdr:nvSpPr>
      <xdr:spPr>
        <a:xfrm>
          <a:off x="14122400" y="5829301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12</xdr:row>
      <xdr:rowOff>165101</xdr:rowOff>
    </xdr:from>
    <xdr:to>
      <xdr:col>9</xdr:col>
      <xdr:colOff>0</xdr:colOff>
      <xdr:row>12</xdr:row>
      <xdr:rowOff>493059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0A097F1-158B-474C-AC09-13FA94625701}"/>
            </a:ext>
          </a:extLst>
        </xdr:cNvPr>
        <xdr:cNvSpPr txBox="1"/>
      </xdr:nvSpPr>
      <xdr:spPr>
        <a:xfrm>
          <a:off x="14084300" y="7086601"/>
          <a:ext cx="3784600" cy="32795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14</xdr:row>
      <xdr:rowOff>162859</xdr:rowOff>
    </xdr:from>
    <xdr:to>
      <xdr:col>8</xdr:col>
      <xdr:colOff>2463800</xdr:colOff>
      <xdr:row>14</xdr:row>
      <xdr:rowOff>487262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AFABEAD-F7F5-0545-9319-C9C32551533D}"/>
            </a:ext>
          </a:extLst>
        </xdr:cNvPr>
        <xdr:cNvSpPr txBox="1"/>
      </xdr:nvSpPr>
      <xdr:spPr>
        <a:xfrm>
          <a:off x="14135100" y="8354359"/>
          <a:ext cx="37211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1181100</xdr:colOff>
      <xdr:row>8</xdr:row>
      <xdr:rowOff>177800</xdr:rowOff>
    </xdr:from>
    <xdr:to>
      <xdr:col>7</xdr:col>
      <xdr:colOff>1219200</xdr:colOff>
      <xdr:row>8</xdr:row>
      <xdr:rowOff>493059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34DC555-A003-104E-9A66-09B82D5665E7}"/>
            </a:ext>
          </a:extLst>
        </xdr:cNvPr>
        <xdr:cNvSpPr txBox="1"/>
      </xdr:nvSpPr>
      <xdr:spPr>
        <a:xfrm>
          <a:off x="1714500" y="4559300"/>
          <a:ext cx="12420600" cy="3152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10</xdr:row>
      <xdr:rowOff>177800</xdr:rowOff>
    </xdr:from>
    <xdr:to>
      <xdr:col>7</xdr:col>
      <xdr:colOff>1219200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1803400" y="5829300"/>
          <a:ext cx="12331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29884</xdr:colOff>
      <xdr:row>12</xdr:row>
      <xdr:rowOff>165099</xdr:rowOff>
    </xdr:from>
    <xdr:to>
      <xdr:col>7</xdr:col>
      <xdr:colOff>1193800</xdr:colOff>
      <xdr:row>12</xdr:row>
      <xdr:rowOff>493058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F7FFACA-A3E8-654E-9F63-725ABC5BFABF}"/>
            </a:ext>
          </a:extLst>
        </xdr:cNvPr>
        <xdr:cNvSpPr txBox="1"/>
      </xdr:nvSpPr>
      <xdr:spPr>
        <a:xfrm>
          <a:off x="563284" y="7086599"/>
          <a:ext cx="13546416" cy="3279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14</xdr:row>
      <xdr:rowOff>162859</xdr:rowOff>
    </xdr:from>
    <xdr:to>
      <xdr:col>7</xdr:col>
      <xdr:colOff>1244599</xdr:colOff>
      <xdr:row>14</xdr:row>
      <xdr:rowOff>480359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2B388E-DA49-7B4D-93E0-7F225D842C56}"/>
            </a:ext>
          </a:extLst>
        </xdr:cNvPr>
        <xdr:cNvSpPr txBox="1"/>
      </xdr:nvSpPr>
      <xdr:spPr>
        <a:xfrm>
          <a:off x="1778000" y="8354359"/>
          <a:ext cx="12382499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12701</xdr:colOff>
      <xdr:row>6</xdr:row>
      <xdr:rowOff>190500</xdr:rowOff>
    </xdr:from>
    <xdr:to>
      <xdr:col>7</xdr:col>
      <xdr:colOff>1270001</xdr:colOff>
      <xdr:row>6</xdr:row>
      <xdr:rowOff>563282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9E6599-C054-8F44-B435-298E93FC37EF}"/>
            </a:ext>
          </a:extLst>
        </xdr:cNvPr>
        <xdr:cNvSpPr txBox="1"/>
      </xdr:nvSpPr>
      <xdr:spPr>
        <a:xfrm>
          <a:off x="12928601" y="3302000"/>
          <a:ext cx="1257300" cy="37278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27641</xdr:colOff>
      <xdr:row>10</xdr:row>
      <xdr:rowOff>180041</xdr:rowOff>
    </xdr:from>
    <xdr:to>
      <xdr:col>2</xdr:col>
      <xdr:colOff>1284941</xdr:colOff>
      <xdr:row>10</xdr:row>
      <xdr:rowOff>497540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F3EA5-420A-B24A-8C9A-39D9ECC6AC7E}"/>
            </a:ext>
          </a:extLst>
        </xdr:cNvPr>
        <xdr:cNvSpPr txBox="1"/>
      </xdr:nvSpPr>
      <xdr:spPr>
        <a:xfrm>
          <a:off x="565523" y="5842747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30629</xdr:colOff>
      <xdr:row>14</xdr:row>
      <xdr:rowOff>168088</xdr:rowOff>
    </xdr:from>
    <xdr:to>
      <xdr:col>2</xdr:col>
      <xdr:colOff>1282701</xdr:colOff>
      <xdr:row>14</xdr:row>
      <xdr:rowOff>485587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9DB2883-E317-B848-8F26-738DE27630F7}"/>
            </a:ext>
          </a:extLst>
        </xdr:cNvPr>
        <xdr:cNvSpPr txBox="1"/>
      </xdr:nvSpPr>
      <xdr:spPr>
        <a:xfrm>
          <a:off x="564029" y="8359588"/>
          <a:ext cx="1252072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6</xdr:row>
      <xdr:rowOff>190501</xdr:rowOff>
    </xdr:from>
    <xdr:to>
      <xdr:col>8</xdr:col>
      <xdr:colOff>2457823</xdr:colOff>
      <xdr:row>6</xdr:row>
      <xdr:rowOff>571501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548E2-FCF9-274D-BFA3-CD93A2C33DB6}"/>
            </a:ext>
          </a:extLst>
        </xdr:cNvPr>
        <xdr:cNvSpPr txBox="1"/>
      </xdr:nvSpPr>
      <xdr:spPr>
        <a:xfrm>
          <a:off x="14185900" y="3302001"/>
          <a:ext cx="3664323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C45E66A-521C-0D42-A891-F11EFBFE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8</xdr:row>
      <xdr:rowOff>177800</xdr:rowOff>
    </xdr:from>
    <xdr:to>
      <xdr:col>2</xdr:col>
      <xdr:colOff>1181101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AAF5EB-2CF9-0B4C-8DBB-BE16A827CCE1}"/>
            </a:ext>
          </a:extLst>
        </xdr:cNvPr>
        <xdr:cNvSpPr txBox="1"/>
      </xdr:nvSpPr>
      <xdr:spPr>
        <a:xfrm>
          <a:off x="533401" y="45593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27641</xdr:colOff>
      <xdr:row>12</xdr:row>
      <xdr:rowOff>180041</xdr:rowOff>
    </xdr:from>
    <xdr:to>
      <xdr:col>2</xdr:col>
      <xdr:colOff>1284941</xdr:colOff>
      <xdr:row>12</xdr:row>
      <xdr:rowOff>497540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19A8FED-65F5-E241-9F81-81CB440D518E}"/>
            </a:ext>
          </a:extLst>
        </xdr:cNvPr>
        <xdr:cNvSpPr txBox="1"/>
      </xdr:nvSpPr>
      <xdr:spPr>
        <a:xfrm>
          <a:off x="561041" y="5831541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1170112</xdr:colOff>
      <xdr:row>6</xdr:row>
      <xdr:rowOff>171236</xdr:rowOff>
    </xdr:from>
    <xdr:to>
      <xdr:col>8</xdr:col>
      <xdr:colOff>2459364</xdr:colOff>
      <xdr:row>6</xdr:row>
      <xdr:rowOff>513708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23587D8-393F-E642-A665-F363DE2E3B46}"/>
            </a:ext>
          </a:extLst>
        </xdr:cNvPr>
        <xdr:cNvSpPr txBox="1"/>
      </xdr:nvSpPr>
      <xdr:spPr>
        <a:xfrm>
          <a:off x="14126966" y="3282023"/>
          <a:ext cx="3772173" cy="34247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1212921</xdr:colOff>
      <xdr:row>8</xdr:row>
      <xdr:rowOff>177799</xdr:rowOff>
    </xdr:from>
    <xdr:to>
      <xdr:col>8</xdr:col>
      <xdr:colOff>2470221</xdr:colOff>
      <xdr:row>8</xdr:row>
      <xdr:rowOff>527976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4A5C22-ABAD-8844-A91F-1DC70B90A9BA}"/>
            </a:ext>
          </a:extLst>
        </xdr:cNvPr>
        <xdr:cNvSpPr txBox="1"/>
      </xdr:nvSpPr>
      <xdr:spPr>
        <a:xfrm>
          <a:off x="14169775" y="4558586"/>
          <a:ext cx="3740221" cy="35017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1155843</xdr:colOff>
      <xdr:row>12</xdr:row>
      <xdr:rowOff>185505</xdr:rowOff>
    </xdr:from>
    <xdr:to>
      <xdr:col>8</xdr:col>
      <xdr:colOff>2470220</xdr:colOff>
      <xdr:row>12</xdr:row>
      <xdr:rowOff>513707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372A26-E0C4-9240-941E-73A57B6BD8C1}"/>
            </a:ext>
          </a:extLst>
        </xdr:cNvPr>
        <xdr:cNvSpPr txBox="1"/>
      </xdr:nvSpPr>
      <xdr:spPr>
        <a:xfrm>
          <a:off x="14112697" y="7106292"/>
          <a:ext cx="3797298" cy="32820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1184382</xdr:colOff>
      <xdr:row>8</xdr:row>
      <xdr:rowOff>177799</xdr:rowOff>
    </xdr:from>
    <xdr:to>
      <xdr:col>7</xdr:col>
      <xdr:colOff>1241461</xdr:colOff>
      <xdr:row>8</xdr:row>
      <xdr:rowOff>527976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1726629" y="4558586"/>
          <a:ext cx="12471686" cy="35017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7</xdr:col>
      <xdr:colOff>1241461</xdr:colOff>
      <xdr:row>10</xdr:row>
      <xdr:rowOff>542247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08A3CE-5471-1141-9976-76C3F327C172}"/>
            </a:ext>
          </a:extLst>
        </xdr:cNvPr>
        <xdr:cNvSpPr txBox="1"/>
      </xdr:nvSpPr>
      <xdr:spPr>
        <a:xfrm>
          <a:off x="554947" y="5828587"/>
          <a:ext cx="13643368" cy="36444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1241460</xdr:colOff>
      <xdr:row>14</xdr:row>
      <xdr:rowOff>177800</xdr:rowOff>
    </xdr:from>
    <xdr:to>
      <xdr:col>4</xdr:col>
      <xdr:colOff>2482920</xdr:colOff>
      <xdr:row>14</xdr:row>
      <xdr:rowOff>527977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187E4F-0784-9A43-8E22-DF62F9184C85}"/>
            </a:ext>
          </a:extLst>
        </xdr:cNvPr>
        <xdr:cNvSpPr txBox="1"/>
      </xdr:nvSpPr>
      <xdr:spPr>
        <a:xfrm>
          <a:off x="1783707" y="8368587"/>
          <a:ext cx="6207303" cy="35017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1212922</xdr:colOff>
      <xdr:row>6</xdr:row>
      <xdr:rowOff>165099</xdr:rowOff>
    </xdr:from>
    <xdr:to>
      <xdr:col>7</xdr:col>
      <xdr:colOff>1184382</xdr:colOff>
      <xdr:row>6</xdr:row>
      <xdr:rowOff>513706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2E5B80-EDD8-A645-93B3-925DF229897E}"/>
            </a:ext>
          </a:extLst>
        </xdr:cNvPr>
        <xdr:cNvSpPr txBox="1"/>
      </xdr:nvSpPr>
      <xdr:spPr>
        <a:xfrm>
          <a:off x="1755169" y="3275886"/>
          <a:ext cx="12386067" cy="34860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7</xdr:col>
      <xdr:colOff>2126181</xdr:colOff>
      <xdr:row>1</xdr:row>
      <xdr:rowOff>642135</xdr:rowOff>
    </xdr:from>
    <xdr:to>
      <xdr:col>8</xdr:col>
      <xdr:colOff>2095598</xdr:colOff>
      <xdr:row>3</xdr:row>
      <xdr:rowOff>600054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26E8479-A966-1B48-AA5B-493CB0EEB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3035" y="827641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171235</xdr:rowOff>
    </xdr:from>
    <xdr:to>
      <xdr:col>2</xdr:col>
      <xdr:colOff>1241461</xdr:colOff>
      <xdr:row>6</xdr:row>
      <xdr:rowOff>513707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8D6433-651D-8A49-89D2-370D657BA033}"/>
            </a:ext>
          </a:extLst>
        </xdr:cNvPr>
        <xdr:cNvSpPr txBox="1"/>
      </xdr:nvSpPr>
      <xdr:spPr>
        <a:xfrm>
          <a:off x="542247" y="3282022"/>
          <a:ext cx="1241461" cy="34247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185505</xdr:rowOff>
    </xdr:from>
    <xdr:to>
      <xdr:col>2</xdr:col>
      <xdr:colOff>1241461</xdr:colOff>
      <xdr:row>8</xdr:row>
      <xdr:rowOff>527977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B8AA2E-B57C-F240-9AF8-DD3F8F633806}"/>
            </a:ext>
          </a:extLst>
        </xdr:cNvPr>
        <xdr:cNvSpPr txBox="1"/>
      </xdr:nvSpPr>
      <xdr:spPr>
        <a:xfrm>
          <a:off x="542247" y="4566292"/>
          <a:ext cx="1241461" cy="34247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185505</xdr:rowOff>
    </xdr:from>
    <xdr:to>
      <xdr:col>2</xdr:col>
      <xdr:colOff>1241461</xdr:colOff>
      <xdr:row>10</xdr:row>
      <xdr:rowOff>527977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C1BB0E8-7E12-C64F-97E9-077DF967934C}"/>
            </a:ext>
          </a:extLst>
        </xdr:cNvPr>
        <xdr:cNvSpPr txBox="1"/>
      </xdr:nvSpPr>
      <xdr:spPr>
        <a:xfrm>
          <a:off x="542247" y="4566292"/>
          <a:ext cx="1241461" cy="34247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1227191</xdr:colOff>
      <xdr:row>10</xdr:row>
      <xdr:rowOff>185505</xdr:rowOff>
    </xdr:from>
    <xdr:to>
      <xdr:col>9</xdr:col>
      <xdr:colOff>1569</xdr:colOff>
      <xdr:row>10</xdr:row>
      <xdr:rowOff>535682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C77CEF1-C0F1-1748-876B-E1CC624E3086}"/>
            </a:ext>
          </a:extLst>
        </xdr:cNvPr>
        <xdr:cNvSpPr txBox="1"/>
      </xdr:nvSpPr>
      <xdr:spPr>
        <a:xfrm>
          <a:off x="14184045" y="5836292"/>
          <a:ext cx="3740221" cy="35017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185505</xdr:rowOff>
    </xdr:from>
    <xdr:to>
      <xdr:col>2</xdr:col>
      <xdr:colOff>1241461</xdr:colOff>
      <xdr:row>12</xdr:row>
      <xdr:rowOff>527977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C36453A-D77D-3A46-8D9D-196C50029599}"/>
            </a:ext>
          </a:extLst>
        </xdr:cNvPr>
        <xdr:cNvSpPr txBox="1"/>
      </xdr:nvSpPr>
      <xdr:spPr>
        <a:xfrm>
          <a:off x="542247" y="5836292"/>
          <a:ext cx="1241461" cy="34247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1227191</xdr:colOff>
      <xdr:row>12</xdr:row>
      <xdr:rowOff>185504</xdr:rowOff>
    </xdr:from>
    <xdr:to>
      <xdr:col>7</xdr:col>
      <xdr:colOff>1170112</xdr:colOff>
      <xdr:row>12</xdr:row>
      <xdr:rowOff>527977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E687E56-1CB0-E34A-9195-6E8F2A5AA07D}"/>
            </a:ext>
          </a:extLst>
        </xdr:cNvPr>
        <xdr:cNvSpPr txBox="1"/>
      </xdr:nvSpPr>
      <xdr:spPr>
        <a:xfrm>
          <a:off x="1769438" y="7106291"/>
          <a:ext cx="12357528" cy="34247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14</xdr:row>
      <xdr:rowOff>185505</xdr:rowOff>
    </xdr:from>
    <xdr:to>
      <xdr:col>2</xdr:col>
      <xdr:colOff>1241461</xdr:colOff>
      <xdr:row>14</xdr:row>
      <xdr:rowOff>527977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CE2FFE9-B49F-594A-B847-9026DF0B6F25}"/>
            </a:ext>
          </a:extLst>
        </xdr:cNvPr>
        <xdr:cNvSpPr txBox="1"/>
      </xdr:nvSpPr>
      <xdr:spPr>
        <a:xfrm>
          <a:off x="542247" y="7106292"/>
          <a:ext cx="1241461" cy="34247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1270000</xdr:colOff>
      <xdr:row>10</xdr:row>
      <xdr:rowOff>177801</xdr:rowOff>
    </xdr:from>
    <xdr:to>
      <xdr:col>8</xdr:col>
      <xdr:colOff>2463030</xdr:colOff>
      <xdr:row>10</xdr:row>
      <xdr:rowOff>506160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2895453-C959-9C4B-84C8-B20E6679BF09}"/>
            </a:ext>
          </a:extLst>
        </xdr:cNvPr>
        <xdr:cNvSpPr txBox="1"/>
      </xdr:nvSpPr>
      <xdr:spPr>
        <a:xfrm>
          <a:off x="14185900" y="5829301"/>
          <a:ext cx="3669530" cy="3283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12</xdr:row>
      <xdr:rowOff>187555</xdr:rowOff>
    </xdr:from>
    <xdr:to>
      <xdr:col>9</xdr:col>
      <xdr:colOff>0</xdr:colOff>
      <xdr:row>12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B4454D0-39B0-BF48-9DC5-43DBC3E35179}"/>
            </a:ext>
          </a:extLst>
        </xdr:cNvPr>
        <xdr:cNvSpPr txBox="1"/>
      </xdr:nvSpPr>
      <xdr:spPr>
        <a:xfrm>
          <a:off x="14173200" y="7109055"/>
          <a:ext cx="3695700" cy="30774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6</xdr:row>
      <xdr:rowOff>222443</xdr:rowOff>
    </xdr:from>
    <xdr:to>
      <xdr:col>8</xdr:col>
      <xdr:colOff>2463030</xdr:colOff>
      <xdr:row>6</xdr:row>
      <xdr:rowOff>538789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393A22-87AD-3749-9737-61FBBF3DF09A}"/>
            </a:ext>
          </a:extLst>
        </xdr:cNvPr>
        <xdr:cNvSpPr txBox="1"/>
      </xdr:nvSpPr>
      <xdr:spPr>
        <a:xfrm>
          <a:off x="14185900" y="3333943"/>
          <a:ext cx="3669530" cy="31634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8</xdr:row>
      <xdr:rowOff>202463</xdr:rowOff>
    </xdr:from>
    <xdr:to>
      <xdr:col>7</xdr:col>
      <xdr:colOff>1270000</xdr:colOff>
      <xdr:row>8</xdr:row>
      <xdr:rowOff>515362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1778000" y="4583963"/>
          <a:ext cx="12407900" cy="3128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10</xdr:row>
      <xdr:rowOff>190499</xdr:rowOff>
    </xdr:from>
    <xdr:to>
      <xdr:col>7</xdr:col>
      <xdr:colOff>1282700</xdr:colOff>
      <xdr:row>10</xdr:row>
      <xdr:rowOff>513002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852F1F-BAAD-E84F-AA33-D363BE3637E2}"/>
            </a:ext>
          </a:extLst>
        </xdr:cNvPr>
        <xdr:cNvSpPr txBox="1"/>
      </xdr:nvSpPr>
      <xdr:spPr>
        <a:xfrm>
          <a:off x="1790700" y="5841999"/>
          <a:ext cx="12407900" cy="3225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12</xdr:row>
      <xdr:rowOff>200255</xdr:rowOff>
    </xdr:from>
    <xdr:to>
      <xdr:col>7</xdr:col>
      <xdr:colOff>1282699</xdr:colOff>
      <xdr:row>12</xdr:row>
      <xdr:rowOff>508000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2C1A15-F4F4-D948-B925-F2249592F4B5}"/>
            </a:ext>
          </a:extLst>
        </xdr:cNvPr>
        <xdr:cNvSpPr txBox="1"/>
      </xdr:nvSpPr>
      <xdr:spPr>
        <a:xfrm>
          <a:off x="1790700" y="7121755"/>
          <a:ext cx="12407899" cy="30774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6542</xdr:colOff>
      <xdr:row>14</xdr:row>
      <xdr:rowOff>197042</xdr:rowOff>
    </xdr:from>
    <xdr:to>
      <xdr:col>7</xdr:col>
      <xdr:colOff>0</xdr:colOff>
      <xdr:row>14</xdr:row>
      <xdr:rowOff>508000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F50A623-D493-F44E-9B3D-8DDE42160E44}"/>
            </a:ext>
          </a:extLst>
        </xdr:cNvPr>
        <xdr:cNvSpPr txBox="1"/>
      </xdr:nvSpPr>
      <xdr:spPr>
        <a:xfrm>
          <a:off x="539942" y="8388542"/>
          <a:ext cx="12375958" cy="31095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8</xdr:row>
      <xdr:rowOff>202465</xdr:rowOff>
    </xdr:from>
    <xdr:to>
      <xdr:col>9</xdr:col>
      <xdr:colOff>0</xdr:colOff>
      <xdr:row>8</xdr:row>
      <xdr:rowOff>508000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DE6A7F-BC33-B24E-8191-36DF27547D5D}"/>
            </a:ext>
          </a:extLst>
        </xdr:cNvPr>
        <xdr:cNvSpPr txBox="1"/>
      </xdr:nvSpPr>
      <xdr:spPr>
        <a:xfrm>
          <a:off x="14147800" y="4583965"/>
          <a:ext cx="3721100" cy="30553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197042</xdr:rowOff>
    </xdr:from>
    <xdr:to>
      <xdr:col>2</xdr:col>
      <xdr:colOff>1244600</xdr:colOff>
      <xdr:row>8</xdr:row>
      <xdr:rowOff>514541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219A90-C1C4-914C-8985-938006BEEF23}"/>
            </a:ext>
          </a:extLst>
        </xdr:cNvPr>
        <xdr:cNvSpPr txBox="1"/>
      </xdr:nvSpPr>
      <xdr:spPr>
        <a:xfrm>
          <a:off x="546100" y="4578542"/>
          <a:ext cx="1231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2451100</xdr:colOff>
      <xdr:row>6</xdr:row>
      <xdr:rowOff>227863</xdr:rowOff>
    </xdr:from>
    <xdr:to>
      <xdr:col>7</xdr:col>
      <xdr:colOff>1282700</xdr:colOff>
      <xdr:row>6</xdr:row>
      <xdr:rowOff>540762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FAD7D4-4BFD-9740-B3AA-30899BD076B8}"/>
            </a:ext>
          </a:extLst>
        </xdr:cNvPr>
        <xdr:cNvSpPr txBox="1"/>
      </xdr:nvSpPr>
      <xdr:spPr>
        <a:xfrm>
          <a:off x="7937500" y="3339363"/>
          <a:ext cx="6261100" cy="3128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5349E6-D4C5-4640-BBE0-0061DD12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10</xdr:row>
      <xdr:rowOff>197042</xdr:rowOff>
    </xdr:from>
    <xdr:to>
      <xdr:col>2</xdr:col>
      <xdr:colOff>1244600</xdr:colOff>
      <xdr:row>10</xdr:row>
      <xdr:rowOff>514541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77AF8BB-BA02-7248-873D-9EA227B65A4E}"/>
            </a:ext>
          </a:extLst>
        </xdr:cNvPr>
        <xdr:cNvSpPr txBox="1"/>
      </xdr:nvSpPr>
      <xdr:spPr>
        <a:xfrm>
          <a:off x="546100" y="4578542"/>
          <a:ext cx="1231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197042</xdr:rowOff>
    </xdr:from>
    <xdr:to>
      <xdr:col>2</xdr:col>
      <xdr:colOff>1244600</xdr:colOff>
      <xdr:row>12</xdr:row>
      <xdr:rowOff>514541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2CC5333-06DB-3640-9206-7028CB355D36}"/>
            </a:ext>
          </a:extLst>
        </xdr:cNvPr>
        <xdr:cNvSpPr txBox="1"/>
      </xdr:nvSpPr>
      <xdr:spPr>
        <a:xfrm>
          <a:off x="546100" y="5848542"/>
          <a:ext cx="1231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197042</xdr:rowOff>
    </xdr:from>
    <xdr:to>
      <xdr:col>2</xdr:col>
      <xdr:colOff>1244600</xdr:colOff>
      <xdr:row>14</xdr:row>
      <xdr:rowOff>514541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12A7289-59FF-604E-8A8A-2A93D650D369}"/>
            </a:ext>
          </a:extLst>
        </xdr:cNvPr>
        <xdr:cNvSpPr txBox="1"/>
      </xdr:nvSpPr>
      <xdr:spPr>
        <a:xfrm>
          <a:off x="546100" y="7118542"/>
          <a:ext cx="1231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1301357</xdr:colOff>
      <xdr:row>6</xdr:row>
      <xdr:rowOff>235186</xdr:rowOff>
    </xdr:from>
    <xdr:to>
      <xdr:col>9</xdr:col>
      <xdr:colOff>15920</xdr:colOff>
      <xdr:row>6</xdr:row>
      <xdr:rowOff>649111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248797-8086-1B45-ADD2-6F62B31DFF28}"/>
            </a:ext>
          </a:extLst>
        </xdr:cNvPr>
        <xdr:cNvSpPr txBox="1"/>
      </xdr:nvSpPr>
      <xdr:spPr>
        <a:xfrm>
          <a:off x="14220863" y="3339630"/>
          <a:ext cx="3669131" cy="41392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1225176</xdr:colOff>
      <xdr:row>10</xdr:row>
      <xdr:rowOff>222623</xdr:rowOff>
    </xdr:from>
    <xdr:to>
      <xdr:col>8</xdr:col>
      <xdr:colOff>2461845</xdr:colOff>
      <xdr:row>10</xdr:row>
      <xdr:rowOff>619347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CE7369-3646-6947-9D5A-B4F701BEE393}"/>
            </a:ext>
          </a:extLst>
        </xdr:cNvPr>
        <xdr:cNvSpPr txBox="1"/>
      </xdr:nvSpPr>
      <xdr:spPr>
        <a:xfrm>
          <a:off x="14164235" y="5885329"/>
          <a:ext cx="3716904" cy="39672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1195294</xdr:colOff>
      <xdr:row>14</xdr:row>
      <xdr:rowOff>207681</xdr:rowOff>
    </xdr:from>
    <xdr:to>
      <xdr:col>9</xdr:col>
      <xdr:colOff>1860</xdr:colOff>
      <xdr:row>14</xdr:row>
      <xdr:rowOff>627528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771938D-3B08-8145-B40C-EF978C076C5D}"/>
            </a:ext>
          </a:extLst>
        </xdr:cNvPr>
        <xdr:cNvSpPr txBox="1"/>
      </xdr:nvSpPr>
      <xdr:spPr>
        <a:xfrm>
          <a:off x="14134353" y="8410387"/>
          <a:ext cx="3767036" cy="4198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1195294</xdr:colOff>
      <xdr:row>8</xdr:row>
      <xdr:rowOff>224118</xdr:rowOff>
    </xdr:from>
    <xdr:to>
      <xdr:col>7</xdr:col>
      <xdr:colOff>1270000</xdr:colOff>
      <xdr:row>8</xdr:row>
      <xdr:rowOff>604761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1733176" y="4616824"/>
          <a:ext cx="12475883" cy="38064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1210235</xdr:colOff>
      <xdr:row>10</xdr:row>
      <xdr:rowOff>239059</xdr:rowOff>
    </xdr:from>
    <xdr:to>
      <xdr:col>7</xdr:col>
      <xdr:colOff>1225175</xdr:colOff>
      <xdr:row>10</xdr:row>
      <xdr:rowOff>627529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86C438-4799-D44C-8712-0B8AA1D0E1A7}"/>
            </a:ext>
          </a:extLst>
        </xdr:cNvPr>
        <xdr:cNvSpPr txBox="1"/>
      </xdr:nvSpPr>
      <xdr:spPr>
        <a:xfrm>
          <a:off x="1748117" y="5901765"/>
          <a:ext cx="12416117" cy="38847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1210236</xdr:colOff>
      <xdr:row>14</xdr:row>
      <xdr:rowOff>222623</xdr:rowOff>
    </xdr:from>
    <xdr:to>
      <xdr:col>7</xdr:col>
      <xdr:colOff>1210235</xdr:colOff>
      <xdr:row>14</xdr:row>
      <xdr:rowOff>627529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F909982-8ADF-9B42-8CEE-B60A958ACDD4}"/>
            </a:ext>
          </a:extLst>
        </xdr:cNvPr>
        <xdr:cNvSpPr txBox="1"/>
      </xdr:nvSpPr>
      <xdr:spPr>
        <a:xfrm>
          <a:off x="1748118" y="8425329"/>
          <a:ext cx="12401176" cy="40490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20321</xdr:colOff>
      <xdr:row>16</xdr:row>
      <xdr:rowOff>194235</xdr:rowOff>
    </xdr:from>
    <xdr:to>
      <xdr:col>2</xdr:col>
      <xdr:colOff>1240119</xdr:colOff>
      <xdr:row>16</xdr:row>
      <xdr:rowOff>612588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978FC12-02E2-8543-B79F-6250AEBD210E}"/>
            </a:ext>
          </a:extLst>
        </xdr:cNvPr>
        <xdr:cNvSpPr txBox="1"/>
      </xdr:nvSpPr>
      <xdr:spPr>
        <a:xfrm>
          <a:off x="558203" y="9666941"/>
          <a:ext cx="1219798" cy="41835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2163703</xdr:colOff>
      <xdr:row>1</xdr:row>
      <xdr:rowOff>642839</xdr:rowOff>
    </xdr:from>
    <xdr:to>
      <xdr:col>8</xdr:col>
      <xdr:colOff>2138757</xdr:colOff>
      <xdr:row>3</xdr:row>
      <xdr:rowOff>606395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A80437-69D3-3940-8020-AF6CD1E0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3209" y="830987"/>
          <a:ext cx="2452338" cy="1170840"/>
        </a:xfrm>
        <a:prstGeom prst="rect">
          <a:avLst/>
        </a:prstGeom>
      </xdr:spPr>
    </xdr:pic>
    <xdr:clientData/>
  </xdr:twoCellAnchor>
  <xdr:twoCellAnchor>
    <xdr:from>
      <xdr:col>7</xdr:col>
      <xdr:colOff>15678</xdr:colOff>
      <xdr:row>6</xdr:row>
      <xdr:rowOff>235186</xdr:rowOff>
    </xdr:from>
    <xdr:to>
      <xdr:col>7</xdr:col>
      <xdr:colOff>1301357</xdr:colOff>
      <xdr:row>6</xdr:row>
      <xdr:rowOff>647030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90550D-6E39-2846-9EDB-8BE5E0A3A509}"/>
            </a:ext>
          </a:extLst>
        </xdr:cNvPr>
        <xdr:cNvSpPr txBox="1"/>
      </xdr:nvSpPr>
      <xdr:spPr>
        <a:xfrm>
          <a:off x="12935184" y="3339630"/>
          <a:ext cx="1285679" cy="41184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8</xdr:row>
      <xdr:rowOff>224118</xdr:rowOff>
    </xdr:from>
    <xdr:to>
      <xdr:col>2</xdr:col>
      <xdr:colOff>1210237</xdr:colOff>
      <xdr:row>8</xdr:row>
      <xdr:rowOff>620842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5D9B0C0-E8AD-F948-B4BE-A37C37EA154A}"/>
            </a:ext>
          </a:extLst>
        </xdr:cNvPr>
        <xdr:cNvSpPr txBox="1"/>
      </xdr:nvSpPr>
      <xdr:spPr>
        <a:xfrm>
          <a:off x="537883" y="4616824"/>
          <a:ext cx="1210236" cy="39672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8</xdr:row>
      <xdr:rowOff>224118</xdr:rowOff>
    </xdr:from>
    <xdr:to>
      <xdr:col>8</xdr:col>
      <xdr:colOff>2464798</xdr:colOff>
      <xdr:row>8</xdr:row>
      <xdr:rowOff>612588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F380E09-D5FB-A34E-BA2B-915C628BDB18}"/>
            </a:ext>
          </a:extLst>
        </xdr:cNvPr>
        <xdr:cNvSpPr txBox="1"/>
      </xdr:nvSpPr>
      <xdr:spPr>
        <a:xfrm>
          <a:off x="14209059" y="4616824"/>
          <a:ext cx="3675033" cy="38847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10</xdr:row>
      <xdr:rowOff>224118</xdr:rowOff>
    </xdr:from>
    <xdr:to>
      <xdr:col>2</xdr:col>
      <xdr:colOff>1210237</xdr:colOff>
      <xdr:row>10</xdr:row>
      <xdr:rowOff>620842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9E74FA4-C5C6-3A49-A8AA-005403A52355}"/>
            </a:ext>
          </a:extLst>
        </xdr:cNvPr>
        <xdr:cNvSpPr txBox="1"/>
      </xdr:nvSpPr>
      <xdr:spPr>
        <a:xfrm>
          <a:off x="537883" y="4616824"/>
          <a:ext cx="1210236" cy="39672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oneCellAnchor>
    <xdr:from>
      <xdr:col>7</xdr:col>
      <xdr:colOff>723900</xdr:colOff>
      <xdr:row>10</xdr:row>
      <xdr:rowOff>203200</xdr:rowOff>
    </xdr:from>
    <xdr:ext cx="184731" cy="25257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6836A57-B273-3041-99F4-E4C3A222AE5A}"/>
            </a:ext>
          </a:extLst>
        </xdr:cNvPr>
        <xdr:cNvSpPr txBox="1"/>
      </xdr:nvSpPr>
      <xdr:spPr>
        <a:xfrm>
          <a:off x="8702488" y="5865906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1</xdr:colOff>
      <xdr:row>12</xdr:row>
      <xdr:rowOff>224118</xdr:rowOff>
    </xdr:from>
    <xdr:to>
      <xdr:col>2</xdr:col>
      <xdr:colOff>1210237</xdr:colOff>
      <xdr:row>12</xdr:row>
      <xdr:rowOff>620842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9C24F25-1DAC-A341-8DB1-E484E55B0695}"/>
            </a:ext>
          </a:extLst>
        </xdr:cNvPr>
        <xdr:cNvSpPr txBox="1"/>
      </xdr:nvSpPr>
      <xdr:spPr>
        <a:xfrm>
          <a:off x="537883" y="5886824"/>
          <a:ext cx="1210236" cy="39672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1210235</xdr:colOff>
      <xdr:row>12</xdr:row>
      <xdr:rowOff>224118</xdr:rowOff>
    </xdr:from>
    <xdr:to>
      <xdr:col>7</xdr:col>
      <xdr:colOff>1225175</xdr:colOff>
      <xdr:row>12</xdr:row>
      <xdr:rowOff>612588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7FFA034-FDC1-7C4F-B476-D0F12FD2C57D}"/>
            </a:ext>
          </a:extLst>
        </xdr:cNvPr>
        <xdr:cNvSpPr txBox="1"/>
      </xdr:nvSpPr>
      <xdr:spPr>
        <a:xfrm>
          <a:off x="1748117" y="7156824"/>
          <a:ext cx="12416117" cy="38847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1225176</xdr:colOff>
      <xdr:row>12</xdr:row>
      <xdr:rowOff>224118</xdr:rowOff>
    </xdr:from>
    <xdr:to>
      <xdr:col>8</xdr:col>
      <xdr:colOff>2461845</xdr:colOff>
      <xdr:row>12</xdr:row>
      <xdr:rowOff>620842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432EDA7-50FC-F44B-BFE5-290871478A9A}"/>
            </a:ext>
          </a:extLst>
        </xdr:cNvPr>
        <xdr:cNvSpPr txBox="1"/>
      </xdr:nvSpPr>
      <xdr:spPr>
        <a:xfrm>
          <a:off x="14164235" y="7156824"/>
          <a:ext cx="3716904" cy="39672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14</xdr:row>
      <xdr:rowOff>224118</xdr:rowOff>
    </xdr:from>
    <xdr:to>
      <xdr:col>2</xdr:col>
      <xdr:colOff>1210237</xdr:colOff>
      <xdr:row>14</xdr:row>
      <xdr:rowOff>620842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A0BAFF0-AA1E-B341-9AA7-D8B0A8CBF5B6}"/>
            </a:ext>
          </a:extLst>
        </xdr:cNvPr>
        <xdr:cNvSpPr txBox="1"/>
      </xdr:nvSpPr>
      <xdr:spPr>
        <a:xfrm>
          <a:off x="537883" y="7156824"/>
          <a:ext cx="1210236" cy="39672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1195294</xdr:colOff>
      <xdr:row>16</xdr:row>
      <xdr:rowOff>194235</xdr:rowOff>
    </xdr:from>
    <xdr:to>
      <xdr:col>3</xdr:col>
      <xdr:colOff>737</xdr:colOff>
      <xdr:row>16</xdr:row>
      <xdr:rowOff>606079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C6E8A00-33EE-A14E-80F6-3F6269B650C4}"/>
            </a:ext>
          </a:extLst>
        </xdr:cNvPr>
        <xdr:cNvSpPr txBox="1"/>
      </xdr:nvSpPr>
      <xdr:spPr>
        <a:xfrm>
          <a:off x="1733176" y="9666941"/>
          <a:ext cx="1285679" cy="41184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K22"/>
  <sheetViews>
    <sheetView showGridLines="0" zoomScale="86" zoomScaleNormal="100" workbookViewId="0">
      <pane ySplit="5" topLeftCell="A6" activePane="bottomLeft" state="frozen"/>
      <selection pane="bottomLeft" activeCell="D4" sqref="D4:H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11" ht="15" customHeight="1" thickBot="1" x14ac:dyDescent="0.2"/>
    <row r="2" spans="2:11" ht="75" customHeight="1" thickTop="1" x14ac:dyDescent="0.15">
      <c r="C2" s="176" t="s">
        <v>41</v>
      </c>
      <c r="D2" s="177"/>
      <c r="E2" s="177"/>
      <c r="F2" s="177"/>
      <c r="G2" s="177"/>
      <c r="H2" s="177"/>
      <c r="I2" s="178"/>
    </row>
    <row r="3" spans="2:11" s="14" customFormat="1" ht="20" customHeight="1" x14ac:dyDescent="0.15">
      <c r="C3" s="15" t="s">
        <v>0</v>
      </c>
      <c r="D3" s="140">
        <v>2025</v>
      </c>
      <c r="E3" s="17" t="s">
        <v>1</v>
      </c>
      <c r="F3" s="16" t="s">
        <v>2</v>
      </c>
      <c r="G3" s="18" t="s">
        <v>3</v>
      </c>
      <c r="H3" s="19"/>
      <c r="I3" s="20"/>
    </row>
    <row r="4" spans="2:11" ht="75" customHeight="1" x14ac:dyDescent="0.65">
      <c r="C4" s="142">
        <f>CalendarYear</f>
        <v>2025</v>
      </c>
      <c r="D4" s="182" t="s">
        <v>4</v>
      </c>
      <c r="E4" s="182"/>
      <c r="F4" s="182"/>
      <c r="G4" s="182"/>
      <c r="H4" s="182"/>
      <c r="I4" s="141"/>
      <c r="K4"/>
    </row>
    <row r="5" spans="2:11" s="2" customFormat="1" ht="35" customHeight="1" x14ac:dyDescent="0.15">
      <c r="B5" s="82"/>
      <c r="C5" s="11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11" s="33" customFormat="1" ht="25" customHeight="1" x14ac:dyDescent="0.2">
      <c r="B6" s="77"/>
      <c r="C6" s="124">
        <f t="array" ref="C6:I6">DaysAndWeeks+DATE(CalendarYear,1,1)-WEEKDAY(DATE(CalendarYear,1,1),(WeekStart="M")+1)+1</f>
        <v>45655</v>
      </c>
      <c r="D6" s="23">
        <v>45656</v>
      </c>
      <c r="E6" s="23">
        <v>45657</v>
      </c>
      <c r="F6" s="23">
        <v>45658</v>
      </c>
      <c r="G6" s="145">
        <v>45659</v>
      </c>
      <c r="H6" s="23">
        <v>45660</v>
      </c>
      <c r="I6" s="24">
        <v>45661</v>
      </c>
    </row>
    <row r="7" spans="2:11" s="6" customFormat="1" ht="75" customHeight="1" x14ac:dyDescent="0.15">
      <c r="B7" s="75"/>
      <c r="C7" s="175">
        <v>0.625</v>
      </c>
      <c r="D7" s="174"/>
      <c r="E7" s="121"/>
      <c r="F7" s="121"/>
      <c r="G7" s="146"/>
      <c r="H7" s="166">
        <v>0.625</v>
      </c>
      <c r="I7" s="7"/>
    </row>
    <row r="8" spans="2:11" s="33" customFormat="1" ht="25" customHeight="1" x14ac:dyDescent="0.2">
      <c r="B8" s="77"/>
      <c r="C8" s="21">
        <f t="array" ref="C8:I8">DaysAndWeeks+DATE(CalendarYear,1,1)-WEEKDAY(DATE(CalendarYear,1,1),(WeekStart="M")+1)+8</f>
        <v>45662</v>
      </c>
      <c r="D8" s="144">
        <v>45663</v>
      </c>
      <c r="E8" s="144">
        <v>45664</v>
      </c>
      <c r="F8" s="144">
        <v>45665</v>
      </c>
      <c r="G8" s="144">
        <v>45666</v>
      </c>
      <c r="H8" s="113">
        <v>45667</v>
      </c>
      <c r="I8" s="24">
        <v>45668</v>
      </c>
    </row>
    <row r="9" spans="2:11" s="6" customFormat="1" ht="75" customHeight="1" x14ac:dyDescent="0.15">
      <c r="B9" s="75"/>
      <c r="C9" s="175">
        <v>0.625</v>
      </c>
      <c r="D9" s="9"/>
      <c r="E9" s="121"/>
      <c r="G9" s="123"/>
      <c r="H9" s="121">
        <v>0.625</v>
      </c>
      <c r="I9" s="8"/>
      <c r="J9" s="6" t="s">
        <v>5</v>
      </c>
    </row>
    <row r="10" spans="2:11" s="33" customFormat="1" ht="25" customHeight="1" x14ac:dyDescent="0.2">
      <c r="B10" s="77"/>
      <c r="C10" s="21">
        <f t="array" ref="C10:I10">DaysAndWeeks+DATE(CalendarYear,1,1)-WEEKDAY(DATE(CalendarYear,1,1),(WeekStart="M")+1)+15</f>
        <v>45669</v>
      </c>
      <c r="D10" s="22">
        <v>45670</v>
      </c>
      <c r="E10" s="22">
        <v>45671</v>
      </c>
      <c r="F10" s="22">
        <v>45672</v>
      </c>
      <c r="G10" s="25">
        <v>45673</v>
      </c>
      <c r="H10" s="26">
        <v>45674</v>
      </c>
      <c r="I10" s="24">
        <v>45675</v>
      </c>
    </row>
    <row r="11" spans="2:11" s="6" customFormat="1" ht="75" customHeight="1" x14ac:dyDescent="0.15">
      <c r="B11" s="75"/>
      <c r="C11" s="175">
        <v>0.625</v>
      </c>
      <c r="D11" s="174"/>
      <c r="E11" s="121"/>
      <c r="F11" s="9"/>
      <c r="G11" s="122"/>
      <c r="H11" s="166">
        <v>0.625</v>
      </c>
      <c r="I11" s="7"/>
    </row>
    <row r="12" spans="2:11" s="33" customFormat="1" ht="25" customHeight="1" x14ac:dyDescent="0.2">
      <c r="B12" s="77"/>
      <c r="C12" s="21">
        <f t="array" ref="C12:I12">DaysAndWeeks+DATE(CalendarYear,1,1)-WEEKDAY(DATE(CalendarYear,1,1),(WeekStart="M")+1)+22</f>
        <v>45676</v>
      </c>
      <c r="D12" s="22">
        <v>45677</v>
      </c>
      <c r="E12" s="22">
        <v>45678</v>
      </c>
      <c r="F12" s="22">
        <v>45679</v>
      </c>
      <c r="G12" s="22">
        <v>45680</v>
      </c>
      <c r="H12" s="23">
        <v>45681</v>
      </c>
      <c r="I12" s="24">
        <v>45682</v>
      </c>
    </row>
    <row r="13" spans="2:11" s="6" customFormat="1" ht="75" customHeight="1" x14ac:dyDescent="0.15">
      <c r="B13" s="75"/>
      <c r="C13" s="175">
        <v>0.625</v>
      </c>
      <c r="D13" s="9"/>
      <c r="F13" s="121"/>
      <c r="G13" s="123"/>
      <c r="H13" s="166">
        <v>0.625</v>
      </c>
      <c r="I13" s="8"/>
    </row>
    <row r="14" spans="2:11" s="33" customFormat="1" ht="25" customHeight="1" x14ac:dyDescent="0.2">
      <c r="B14" s="77"/>
      <c r="C14" s="21">
        <f t="array" ref="C14:I14">DaysAndWeeks+DATE(CalendarYear,1,1)-WEEKDAY(DATE(CalendarYear,1,1),(WeekStart="M")+1)+29</f>
        <v>45683</v>
      </c>
      <c r="D14" s="22">
        <v>45684</v>
      </c>
      <c r="E14" s="22">
        <v>45685</v>
      </c>
      <c r="F14" s="27">
        <v>45686</v>
      </c>
      <c r="G14" s="27">
        <v>45687</v>
      </c>
      <c r="H14" s="27">
        <v>45688</v>
      </c>
      <c r="I14" s="28">
        <v>45689</v>
      </c>
    </row>
    <row r="15" spans="2:11" s="6" customFormat="1" ht="75" customHeight="1" x14ac:dyDescent="0.15">
      <c r="B15" s="75"/>
      <c r="C15" s="175">
        <v>0.625</v>
      </c>
      <c r="D15" s="167"/>
      <c r="E15" s="121"/>
      <c r="F15" s="3"/>
      <c r="G15" s="148"/>
      <c r="H15" s="149"/>
      <c r="I15" s="150"/>
    </row>
    <row r="16" spans="2:11" s="33" customFormat="1" ht="25" customHeight="1" x14ac:dyDescent="0.2">
      <c r="B16" s="77"/>
      <c r="C16" s="152">
        <f t="array" ref="C16:I16">DaysAndWeeks+DATE(CalendarYear,1,1)-WEEKDAY(DATE(CalendarYear,1,1),(WeekStart="M")+1)+36</f>
        <v>45690</v>
      </c>
      <c r="D16" s="27">
        <v>45691</v>
      </c>
      <c r="E16" s="27">
        <v>45692</v>
      </c>
      <c r="F16" s="27">
        <v>45693</v>
      </c>
      <c r="G16" s="27">
        <v>45694</v>
      </c>
      <c r="H16" s="27">
        <v>45695</v>
      </c>
      <c r="I16" s="28">
        <v>45696</v>
      </c>
    </row>
    <row r="17" spans="2:9" s="6" customFormat="1" ht="75" customHeight="1" x14ac:dyDescent="0.2">
      <c r="B17" s="75"/>
      <c r="C17" s="151"/>
      <c r="D17" s="4"/>
      <c r="E17" s="147"/>
      <c r="F17" s="4"/>
      <c r="G17" s="4"/>
      <c r="H17" s="4"/>
      <c r="I17" s="5"/>
    </row>
    <row r="18" spans="2:9" ht="125" customHeight="1" thickBot="1" x14ac:dyDescent="0.2">
      <c r="B18" s="76"/>
      <c r="C18" s="179" t="s">
        <v>6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39" priority="6">
      <formula>DAY(C6)&gt;8</formula>
    </cfRule>
  </conditionalFormatting>
  <conditionalFormatting sqref="C8:H8">
    <cfRule type="expression" dxfId="38" priority="2">
      <formula>DAY(C8)&gt;8</formula>
    </cfRule>
  </conditionalFormatting>
  <conditionalFormatting sqref="C14:I14 C16:I16 D17 F17:I17 C18">
    <cfRule type="expression" dxfId="37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6" t="s">
        <v>41</v>
      </c>
      <c r="D2" s="177"/>
      <c r="E2" s="177"/>
      <c r="F2" s="177"/>
      <c r="G2" s="177"/>
      <c r="H2" s="177"/>
      <c r="I2" s="178"/>
    </row>
    <row r="3" spans="2:9" ht="20" customHeight="1" x14ac:dyDescent="0.15">
      <c r="B3" s="76"/>
      <c r="C3" s="49"/>
      <c r="D3" s="30"/>
      <c r="E3" s="30"/>
      <c r="F3" s="30"/>
      <c r="G3" s="49" t="s">
        <v>7</v>
      </c>
      <c r="H3" s="49" t="s">
        <v>8</v>
      </c>
      <c r="I3" s="89"/>
    </row>
    <row r="4" spans="2:9" ht="75" customHeight="1" x14ac:dyDescent="0.65">
      <c r="B4" s="76"/>
      <c r="C4" s="142">
        <f>CalendarYear</f>
        <v>2025</v>
      </c>
      <c r="D4" s="183" t="s">
        <v>9</v>
      </c>
      <c r="E4" s="183"/>
      <c r="F4" s="183"/>
      <c r="G4" s="183"/>
      <c r="H4" s="183"/>
      <c r="I4" s="143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51">
        <f t="array" ref="C6:I6">DaysAndWeeks+DATE(CalendarYear,2,1)-WEEKDAY(DATE(CalendarYear,2,1),(WeekStart="M")+1)+1</f>
        <v>45683</v>
      </c>
      <c r="D6" s="41">
        <v>45684</v>
      </c>
      <c r="E6" s="36">
        <v>45685</v>
      </c>
      <c r="F6" s="113">
        <v>45686</v>
      </c>
      <c r="G6" s="113">
        <v>45687</v>
      </c>
      <c r="H6" s="113">
        <v>45688</v>
      </c>
      <c r="I6" s="114">
        <v>45689</v>
      </c>
    </row>
    <row r="7" spans="2:9" s="6" customFormat="1" ht="75" customHeight="1" x14ac:dyDescent="0.15">
      <c r="B7" s="75"/>
      <c r="C7" s="50"/>
      <c r="D7" s="32"/>
      <c r="E7" s="147"/>
      <c r="F7" s="126"/>
      <c r="G7" s="126"/>
      <c r="H7" s="168">
        <v>0.625</v>
      </c>
      <c r="I7" s="115"/>
    </row>
    <row r="8" spans="2:9" s="35" customFormat="1" ht="25" customHeight="1" x14ac:dyDescent="0.2">
      <c r="B8" s="79"/>
      <c r="C8" s="117">
        <f t="array" ref="C8:I8">DaysAndWeeks+DATE(CalendarYear,2,1)-WEEKDAY(DATE(CalendarYear,2,1),(WeekStart="M")+1)+8</f>
        <v>45690</v>
      </c>
      <c r="D8" s="113">
        <v>45691</v>
      </c>
      <c r="E8" s="116">
        <v>45692</v>
      </c>
      <c r="F8" s="116">
        <v>45693</v>
      </c>
      <c r="G8" s="116">
        <v>45694</v>
      </c>
      <c r="H8" s="116">
        <v>45695</v>
      </c>
      <c r="I8" s="114">
        <v>45696</v>
      </c>
    </row>
    <row r="9" spans="2:9" s="54" customFormat="1" ht="75" customHeight="1" x14ac:dyDescent="0.15">
      <c r="B9" s="84"/>
      <c r="C9" s="129">
        <v>0.625</v>
      </c>
      <c r="D9" s="53"/>
      <c r="G9" s="128"/>
      <c r="H9" s="128">
        <v>0.625</v>
      </c>
      <c r="I9" s="85"/>
    </row>
    <row r="10" spans="2:9" s="35" customFormat="1" ht="25" customHeight="1" x14ac:dyDescent="0.2">
      <c r="B10" s="79"/>
      <c r="C10" s="117">
        <f t="array" ref="C10:I10">DaysAndWeeks+DATE(CalendarYear,2,1)-WEEKDAY(DATE(CalendarYear,2,1),(WeekStart="M")+1)+15</f>
        <v>45697</v>
      </c>
      <c r="D10" s="113">
        <v>45698</v>
      </c>
      <c r="E10" s="113">
        <v>45699</v>
      </c>
      <c r="F10" s="113">
        <v>45700</v>
      </c>
      <c r="G10" s="113">
        <v>45701</v>
      </c>
      <c r="H10" s="113">
        <v>45702</v>
      </c>
      <c r="I10" s="114">
        <v>45703</v>
      </c>
    </row>
    <row r="11" spans="2:9" s="54" customFormat="1" ht="75" customHeight="1" x14ac:dyDescent="0.15">
      <c r="B11" s="84"/>
      <c r="C11" s="129">
        <v>0.625</v>
      </c>
      <c r="D11" s="129"/>
      <c r="E11" s="129"/>
      <c r="F11" s="129"/>
      <c r="G11" s="129"/>
      <c r="H11" s="136" t="s">
        <v>40</v>
      </c>
      <c r="I11" s="85"/>
    </row>
    <row r="12" spans="2:9" s="33" customFormat="1" ht="25" customHeight="1" x14ac:dyDescent="0.2">
      <c r="B12" s="77"/>
      <c r="C12" s="117">
        <f t="array" ref="C12:I12">DaysAndWeeks+DATE(CalendarYear,2,1)-WEEKDAY(DATE(CalendarYear,2,1),(WeekStart="M")+1)+22</f>
        <v>45704</v>
      </c>
      <c r="D12" s="113">
        <v>45705</v>
      </c>
      <c r="E12" s="113">
        <v>45706</v>
      </c>
      <c r="F12" s="113">
        <v>45707</v>
      </c>
      <c r="G12" s="113">
        <v>45708</v>
      </c>
      <c r="H12" s="113">
        <v>45709</v>
      </c>
      <c r="I12" s="114">
        <v>45710</v>
      </c>
    </row>
    <row r="13" spans="2:9" s="54" customFormat="1" ht="75" customHeight="1" x14ac:dyDescent="0.15">
      <c r="B13" s="84"/>
      <c r="C13" s="129">
        <v>0.625</v>
      </c>
      <c r="D13" s="53"/>
      <c r="E13" s="129"/>
      <c r="F13" s="169"/>
      <c r="G13" s="129"/>
      <c r="H13" s="136" t="s">
        <v>40</v>
      </c>
      <c r="I13" s="85"/>
    </row>
    <row r="14" spans="2:9" s="33" customFormat="1" ht="25" customHeight="1" x14ac:dyDescent="0.2">
      <c r="B14" s="77"/>
      <c r="C14" s="117">
        <f t="array" ref="C14:I14">DaysAndWeeks+DATE(CalendarYear,2,1)-WEEKDAY(DATE(CalendarYear,2,1),(WeekStart="M")+1)+29</f>
        <v>45711</v>
      </c>
      <c r="D14" s="113">
        <v>45712</v>
      </c>
      <c r="E14" s="153">
        <v>45713</v>
      </c>
      <c r="F14" s="40">
        <v>45714</v>
      </c>
      <c r="G14" s="40">
        <v>45715</v>
      </c>
      <c r="H14" s="40">
        <v>45716</v>
      </c>
      <c r="I14" s="86">
        <v>45717</v>
      </c>
    </row>
    <row r="15" spans="2:9" s="54" customFormat="1" ht="75" customHeight="1" x14ac:dyDescent="0.15">
      <c r="B15" s="84"/>
      <c r="C15" s="129">
        <v>0.625</v>
      </c>
      <c r="D15" s="129"/>
      <c r="E15" s="127"/>
      <c r="F15" s="56"/>
      <c r="G15" s="56"/>
      <c r="H15" s="56"/>
      <c r="I15" s="87"/>
    </row>
    <row r="16" spans="2:9" s="33" customFormat="1" ht="25" customHeight="1" x14ac:dyDescent="0.2">
      <c r="B16" s="77"/>
      <c r="C16" s="83">
        <f t="array" ref="C16:I16">DaysAndWeeks+DATE(CalendarYear,2,1)-WEEKDAY(DATE(CalendarYear,2,1),(WeekStart="M")+1)+36</f>
        <v>45718</v>
      </c>
      <c r="D16" s="39">
        <v>45719</v>
      </c>
      <c r="E16" s="39">
        <v>45720</v>
      </c>
      <c r="F16" s="39">
        <v>45721</v>
      </c>
      <c r="G16" s="39">
        <v>45722</v>
      </c>
      <c r="H16" s="39">
        <v>45723</v>
      </c>
      <c r="I16" s="88">
        <v>45724</v>
      </c>
    </row>
    <row r="17" spans="2:9" s="6" customFormat="1" ht="75" customHeight="1" x14ac:dyDescent="0.15">
      <c r="B17" s="75"/>
      <c r="C17" s="50"/>
      <c r="D17" s="3"/>
      <c r="E17" s="3"/>
      <c r="F17" s="3"/>
      <c r="G17" s="3"/>
      <c r="H17" s="3"/>
      <c r="I17" s="95"/>
    </row>
    <row r="18" spans="2:9" ht="125" customHeight="1" thickBot="1" x14ac:dyDescent="0.2">
      <c r="B18" s="76"/>
      <c r="C18" s="179" t="s">
        <v>6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6" priority="2">
      <formula>AND(DAY(C18)&gt;=1,DAY(C18)&lt;=15)</formula>
    </cfRule>
  </conditionalFormatting>
  <conditionalFormatting sqref="C6:D6">
    <cfRule type="expression" dxfId="35" priority="5">
      <formula>DAY(C6)&gt;8</formula>
    </cfRule>
  </conditionalFormatting>
  <conditionalFormatting sqref="C8:E8">
    <cfRule type="expression" dxfId="34" priority="3">
      <formula>DAY(C8)&gt;8</formula>
    </cfRule>
  </conditionalFormatting>
  <conditionalFormatting sqref="C14:I14 D15:I15 C16:I16">
    <cfRule type="expression" dxfId="33" priority="6">
      <formula>AND(DAY(C14)&gt;=1,DAY(C14)&lt;=15)</formula>
    </cfRule>
  </conditionalFormatting>
  <conditionalFormatting sqref="E6:I6">
    <cfRule type="expression" dxfId="32" priority="7">
      <formula>DAY(E6)&gt;8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J21"/>
  <sheetViews>
    <sheetView showGridLines="0" tabSelected="1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10" ht="15" customHeight="1" thickBot="1" x14ac:dyDescent="0.2">
      <c r="C1" s="81"/>
      <c r="D1" s="81"/>
      <c r="E1" s="81"/>
      <c r="F1" s="81"/>
      <c r="G1" s="81"/>
      <c r="H1" s="81"/>
      <c r="I1" s="81"/>
    </row>
    <row r="2" spans="2:10" ht="75" customHeight="1" thickTop="1" x14ac:dyDescent="0.15">
      <c r="B2" s="76"/>
      <c r="C2" s="176" t="s">
        <v>41</v>
      </c>
      <c r="D2" s="177"/>
      <c r="E2" s="177"/>
      <c r="F2" s="177"/>
      <c r="G2" s="177"/>
      <c r="H2" s="177"/>
      <c r="I2" s="178"/>
    </row>
    <row r="3" spans="2:10" ht="20" customHeight="1" x14ac:dyDescent="0.15">
      <c r="B3" s="76"/>
      <c r="C3" s="31"/>
      <c r="D3" s="29"/>
      <c r="E3" s="29"/>
      <c r="F3" s="30"/>
      <c r="G3" s="49" t="s">
        <v>10</v>
      </c>
      <c r="H3" s="49" t="s">
        <v>11</v>
      </c>
      <c r="I3" s="93"/>
    </row>
    <row r="4" spans="2:10" ht="75" customHeight="1" x14ac:dyDescent="0.65">
      <c r="B4" s="76"/>
      <c r="C4" s="142">
        <f>CalendarYear</f>
        <v>2025</v>
      </c>
      <c r="D4" s="183" t="s">
        <v>12</v>
      </c>
      <c r="E4" s="183"/>
      <c r="F4" s="183"/>
      <c r="G4" s="183"/>
      <c r="H4" s="183"/>
      <c r="I4" s="143"/>
    </row>
    <row r="5" spans="2:10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10" s="33" customFormat="1" ht="25" customHeight="1" x14ac:dyDescent="0.2">
      <c r="B6" s="77"/>
      <c r="C6" s="65">
        <f t="array" ref="C6:I6">DaysAndWeeks+DATE(CalendarYear,3,1)-WEEKDAY(DATE(CalendarYear,3,1),(WeekStart="M")+1)+1</f>
        <v>45711</v>
      </c>
      <c r="D6" s="36">
        <v>45712</v>
      </c>
      <c r="E6" s="154">
        <v>45713</v>
      </c>
      <c r="F6" s="34">
        <v>45714</v>
      </c>
      <c r="G6" s="34">
        <v>45715</v>
      </c>
      <c r="H6" s="34">
        <v>45716</v>
      </c>
      <c r="I6" s="69">
        <v>45717</v>
      </c>
    </row>
    <row r="7" spans="2:10" s="54" customFormat="1" ht="75" customHeight="1" x14ac:dyDescent="0.15">
      <c r="B7" s="84"/>
      <c r="C7" s="94"/>
      <c r="D7" s="55"/>
      <c r="E7" s="138"/>
      <c r="F7" s="129"/>
      <c r="G7" s="129"/>
      <c r="H7" s="129">
        <v>0.625</v>
      </c>
      <c r="I7" s="85"/>
    </row>
    <row r="8" spans="2:10" s="33" customFormat="1" ht="25" customHeight="1" x14ac:dyDescent="0.2">
      <c r="B8" s="77"/>
      <c r="C8" s="37">
        <f t="array" ref="C8:I8">DaysAndWeeks+DATE(CalendarYear,3,1)-WEEKDAY(DATE(CalendarYear,3,1),(WeekStart="M")+1)+8</f>
        <v>45718</v>
      </c>
      <c r="D8" s="34">
        <v>45719</v>
      </c>
      <c r="E8" s="34">
        <v>45720</v>
      </c>
      <c r="F8" s="34">
        <v>45721</v>
      </c>
      <c r="G8" s="37">
        <v>45722</v>
      </c>
      <c r="H8" s="34">
        <v>45723</v>
      </c>
      <c r="I8" s="69">
        <v>45724</v>
      </c>
      <c r="J8" s="54"/>
    </row>
    <row r="9" spans="2:10" s="54" customFormat="1" ht="75" customHeight="1" x14ac:dyDescent="0.15">
      <c r="B9" s="84"/>
      <c r="C9" s="129">
        <v>0.625</v>
      </c>
      <c r="D9" s="53"/>
      <c r="E9" s="129"/>
      <c r="F9" s="129"/>
      <c r="G9" s="130"/>
      <c r="H9" s="129">
        <v>0.625</v>
      </c>
      <c r="I9" s="85"/>
    </row>
    <row r="10" spans="2:10" s="33" customFormat="1" ht="25" customHeight="1" x14ac:dyDescent="0.2">
      <c r="B10" s="77"/>
      <c r="C10" s="37">
        <f t="array" ref="C10:I10">DaysAndWeeks+DATE(CalendarYear,3,1)-WEEKDAY(DATE(CalendarYear,3,1),(WeekStart="M")+1)+15</f>
        <v>45725</v>
      </c>
      <c r="D10" s="34">
        <v>45726</v>
      </c>
      <c r="E10" s="34">
        <v>45727</v>
      </c>
      <c r="F10" s="34">
        <v>45728</v>
      </c>
      <c r="G10" s="34">
        <v>45729</v>
      </c>
      <c r="H10" s="34">
        <v>45730</v>
      </c>
      <c r="I10" s="69">
        <v>45731</v>
      </c>
    </row>
    <row r="11" spans="2:10" s="54" customFormat="1" ht="75" customHeight="1" x14ac:dyDescent="0.15">
      <c r="B11" s="84"/>
      <c r="C11" s="129">
        <v>0.625</v>
      </c>
      <c r="D11" s="129"/>
      <c r="E11" s="129"/>
      <c r="G11" s="129"/>
      <c r="H11" s="129">
        <v>0.625</v>
      </c>
      <c r="I11" s="85"/>
    </row>
    <row r="12" spans="2:10" s="33" customFormat="1" ht="25" customHeight="1" x14ac:dyDescent="0.2">
      <c r="B12" s="77"/>
      <c r="C12" s="37">
        <f t="array" ref="C12:I12">DaysAndWeeks+DATE(CalendarYear,3,1)-WEEKDAY(DATE(CalendarYear,3,1),(WeekStart="M")+1)+22</f>
        <v>45732</v>
      </c>
      <c r="D12" s="34">
        <v>45733</v>
      </c>
      <c r="E12" s="34">
        <v>45734</v>
      </c>
      <c r="F12" s="34">
        <v>45735</v>
      </c>
      <c r="G12" s="34">
        <v>45736</v>
      </c>
      <c r="H12" s="38">
        <v>45737</v>
      </c>
      <c r="I12" s="90">
        <v>45738</v>
      </c>
    </row>
    <row r="13" spans="2:10" s="54" customFormat="1" ht="75" customHeight="1" x14ac:dyDescent="0.15">
      <c r="B13" s="84"/>
      <c r="C13" s="129">
        <v>0.625</v>
      </c>
      <c r="D13" s="53"/>
      <c r="E13" s="129"/>
      <c r="F13" s="129"/>
      <c r="G13" s="129"/>
      <c r="H13" s="129">
        <v>0.625</v>
      </c>
      <c r="I13" s="85"/>
    </row>
    <row r="14" spans="2:10" s="33" customFormat="1" ht="25" customHeight="1" x14ac:dyDescent="0.2">
      <c r="B14" s="77"/>
      <c r="C14" s="45">
        <f t="array" ref="C14:I14">DaysAndWeeks+DATE(CalendarYear,3,1)-WEEKDAY(DATE(CalendarYear,3,1),(WeekStart="M")+1)+29</f>
        <v>45739</v>
      </c>
      <c r="D14" s="34">
        <v>45740</v>
      </c>
      <c r="E14" s="34">
        <v>45741</v>
      </c>
      <c r="F14" s="34">
        <v>45742</v>
      </c>
      <c r="G14" s="45">
        <v>45743</v>
      </c>
      <c r="H14" s="155">
        <v>45744</v>
      </c>
      <c r="I14" s="71">
        <v>45745</v>
      </c>
    </row>
    <row r="15" spans="2:10" s="54" customFormat="1" ht="75" customHeight="1" x14ac:dyDescent="0.15">
      <c r="B15" s="84"/>
      <c r="C15" s="129">
        <v>0.625</v>
      </c>
      <c r="D15" s="129"/>
      <c r="E15" s="129"/>
      <c r="F15" s="129"/>
      <c r="G15" s="127"/>
      <c r="H15" s="170">
        <v>0.625</v>
      </c>
      <c r="I15" s="91"/>
    </row>
    <row r="16" spans="2:10" s="33" customFormat="1" ht="25" customHeight="1" x14ac:dyDescent="0.2">
      <c r="B16" s="77"/>
      <c r="C16" s="43">
        <f t="array" ref="C16:I16">DaysAndWeeks+DATE(CalendarYear,3,1)-WEEKDAY(DATE(CalendarYear,3,1),(WeekStart="M")+1)+36</f>
        <v>45746</v>
      </c>
      <c r="D16" s="36">
        <v>45747</v>
      </c>
      <c r="E16" s="36">
        <v>45748</v>
      </c>
      <c r="F16" s="36">
        <v>45749</v>
      </c>
      <c r="G16" s="36">
        <v>45750</v>
      </c>
      <c r="H16" s="36">
        <v>45751</v>
      </c>
      <c r="I16" s="71">
        <v>45752</v>
      </c>
    </row>
    <row r="17" spans="2:9" s="6" customFormat="1" ht="75" customHeight="1" x14ac:dyDescent="0.15">
      <c r="B17" s="75"/>
      <c r="C17" s="44"/>
      <c r="D17" s="42"/>
      <c r="E17" s="42"/>
      <c r="F17" s="42"/>
      <c r="G17" s="42"/>
      <c r="H17" s="42"/>
      <c r="I17" s="92"/>
    </row>
    <row r="18" spans="2:9" ht="125" customHeight="1" thickBot="1" x14ac:dyDescent="0.2">
      <c r="B18" s="76"/>
      <c r="C18" s="179" t="s">
        <v>6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0" priority="1">
      <formula>AND(DAY(C7)&gt;=1,DAY(C7)&lt;=15)</formula>
    </cfRule>
  </conditionalFormatting>
  <conditionalFormatting sqref="C18">
    <cfRule type="expression" dxfId="29" priority="2">
      <formula>AND(DAY(C18)&gt;=1,DAY(C18)&lt;=15)</formula>
    </cfRule>
  </conditionalFormatting>
  <conditionalFormatting sqref="C6:H6">
    <cfRule type="expression" dxfId="28" priority="4">
      <formula>DAY(C6)&gt;8</formula>
    </cfRule>
  </conditionalFormatting>
  <conditionalFormatting sqref="C14:I17">
    <cfRule type="expression" dxfId="27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6" t="s">
        <v>41</v>
      </c>
      <c r="D2" s="177"/>
      <c r="E2" s="177"/>
      <c r="F2" s="177"/>
      <c r="G2" s="177"/>
      <c r="H2" s="177"/>
      <c r="I2" s="178"/>
    </row>
    <row r="3" spans="2:9" ht="20" customHeight="1" x14ac:dyDescent="0.15">
      <c r="B3" s="76"/>
      <c r="C3" s="18"/>
      <c r="D3" s="18"/>
      <c r="E3" s="46"/>
      <c r="F3" s="46"/>
      <c r="G3" s="18" t="s">
        <v>13</v>
      </c>
      <c r="H3" s="18" t="s">
        <v>14</v>
      </c>
      <c r="I3" s="97"/>
    </row>
    <row r="4" spans="2:9" ht="75" customHeight="1" x14ac:dyDescent="0.65">
      <c r="B4" s="76"/>
      <c r="C4" s="142">
        <f>CalendarYear</f>
        <v>2025</v>
      </c>
      <c r="D4" s="187" t="s">
        <v>15</v>
      </c>
      <c r="E4" s="187"/>
      <c r="F4" s="187"/>
      <c r="G4" s="187"/>
      <c r="H4" s="187"/>
      <c r="I4" s="143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DaysAndWeeks+DATE(CalendarYear,4,1)-WEEKDAY(DATE(CalendarYear,4,1),(WeekStart="M")+1)+1</f>
        <v>45746</v>
      </c>
      <c r="D6" s="36">
        <v>45747</v>
      </c>
      <c r="E6" s="36">
        <v>45748</v>
      </c>
      <c r="F6" s="36">
        <v>45749</v>
      </c>
      <c r="G6" s="36">
        <v>45750</v>
      </c>
      <c r="H6" s="36">
        <v>45751</v>
      </c>
      <c r="I6" s="69">
        <v>45752</v>
      </c>
    </row>
    <row r="7" spans="2:9" s="54" customFormat="1" ht="75" customHeight="1" x14ac:dyDescent="0.15">
      <c r="B7" s="84"/>
      <c r="C7" s="57"/>
      <c r="D7" s="58"/>
      <c r="E7" s="58"/>
      <c r="F7" s="55"/>
      <c r="G7" s="131"/>
      <c r="H7" s="55"/>
      <c r="I7" s="85"/>
    </row>
    <row r="8" spans="2:9" s="33" customFormat="1" ht="25" customHeight="1" x14ac:dyDescent="0.2">
      <c r="B8" s="77"/>
      <c r="C8" s="37">
        <f t="array" ref="C8:I8">DaysAndWeeks+DATE(CalendarYear,4,1)-WEEKDAY(DATE(CalendarYear,4,1),(WeekStart="M")+1)+8</f>
        <v>45753</v>
      </c>
      <c r="D8" s="34">
        <v>45754</v>
      </c>
      <c r="E8" s="34">
        <v>45755</v>
      </c>
      <c r="F8" s="34">
        <v>45756</v>
      </c>
      <c r="G8" s="34">
        <v>45757</v>
      </c>
      <c r="H8" s="34">
        <v>45758</v>
      </c>
      <c r="I8" s="69">
        <v>45759</v>
      </c>
    </row>
    <row r="9" spans="2:9" s="54" customFormat="1" ht="75" customHeight="1" x14ac:dyDescent="0.15">
      <c r="B9" s="84"/>
      <c r="C9" s="129">
        <v>0.625</v>
      </c>
      <c r="D9" s="53"/>
      <c r="E9" s="129"/>
      <c r="F9" s="129">
        <v>0.625</v>
      </c>
      <c r="G9" s="132"/>
      <c r="H9" s="129">
        <v>0.625</v>
      </c>
      <c r="I9" s="85"/>
    </row>
    <row r="10" spans="2:9" s="33" customFormat="1" ht="25" customHeight="1" x14ac:dyDescent="0.2">
      <c r="B10" s="77"/>
      <c r="C10" s="37">
        <f t="array" ref="C10:I10">DaysAndWeeks+DATE(CalendarYear,4,1)-WEEKDAY(DATE(CalendarYear,4,1),(WeekStart="M")+1)+15</f>
        <v>45760</v>
      </c>
      <c r="D10" s="34">
        <v>45761</v>
      </c>
      <c r="E10" s="34">
        <v>45762</v>
      </c>
      <c r="F10" s="34">
        <v>45763</v>
      </c>
      <c r="G10" s="34">
        <v>45764</v>
      </c>
      <c r="H10" s="34">
        <v>45765</v>
      </c>
      <c r="I10" s="69">
        <v>45766</v>
      </c>
    </row>
    <row r="11" spans="2:9" s="54" customFormat="1" ht="75" customHeight="1" x14ac:dyDescent="0.15">
      <c r="B11" s="84"/>
      <c r="C11" s="129">
        <v>0.625</v>
      </c>
      <c r="D11" s="129"/>
      <c r="E11" s="129"/>
      <c r="F11" s="129"/>
      <c r="G11" s="129"/>
      <c r="H11" s="129">
        <v>0.625</v>
      </c>
      <c r="I11" s="85"/>
    </row>
    <row r="12" spans="2:9" s="33" customFormat="1" ht="25" customHeight="1" x14ac:dyDescent="0.2">
      <c r="B12" s="77"/>
      <c r="C12" s="37">
        <f t="array" ref="C12:I12">DaysAndWeeks+DATE(CalendarYear,4,1)-WEEKDAY(DATE(CalendarYear,4,1),(WeekStart="M")+1)+22</f>
        <v>45767</v>
      </c>
      <c r="D12" s="34">
        <v>45768</v>
      </c>
      <c r="E12" s="34">
        <v>45769</v>
      </c>
      <c r="F12" s="34">
        <v>45770</v>
      </c>
      <c r="G12" s="34">
        <v>45771</v>
      </c>
      <c r="H12" s="34">
        <v>45772</v>
      </c>
      <c r="I12" s="69">
        <v>45773</v>
      </c>
    </row>
    <row r="13" spans="2:9" s="54" customFormat="1" ht="75" customHeight="1" x14ac:dyDescent="0.15">
      <c r="B13" s="84"/>
      <c r="C13" s="129">
        <v>0.625</v>
      </c>
      <c r="D13" s="53"/>
      <c r="E13" s="129"/>
      <c r="F13" s="129"/>
      <c r="G13" s="132"/>
      <c r="H13" s="129">
        <v>0.625</v>
      </c>
      <c r="I13" s="85"/>
    </row>
    <row r="14" spans="2:9" s="33" customFormat="1" ht="25" customHeight="1" x14ac:dyDescent="0.2">
      <c r="B14" s="77"/>
      <c r="C14" s="37">
        <f t="array" ref="C14:I14">DaysAndWeeks+DATE(CalendarYear,4,1)-WEEKDAY(DATE(CalendarYear,4,1),(WeekStart="M")+1)+29</f>
        <v>45774</v>
      </c>
      <c r="D14" s="34">
        <v>45775</v>
      </c>
      <c r="E14" s="34">
        <v>45776</v>
      </c>
      <c r="F14" s="34">
        <v>45777</v>
      </c>
      <c r="G14" s="34">
        <v>45778</v>
      </c>
      <c r="H14" s="34">
        <v>45779</v>
      </c>
      <c r="I14" s="69">
        <v>45780</v>
      </c>
    </row>
    <row r="15" spans="2:9" s="54" customFormat="1" ht="75" customHeight="1" x14ac:dyDescent="0.15">
      <c r="B15" s="84"/>
      <c r="C15" s="129">
        <v>0.625</v>
      </c>
      <c r="D15" s="129"/>
      <c r="E15" s="129"/>
      <c r="F15" s="129"/>
      <c r="G15" s="129"/>
      <c r="H15" s="129">
        <v>0.625</v>
      </c>
      <c r="I15" s="85"/>
    </row>
    <row r="16" spans="2:9" s="33" customFormat="1" ht="25" customHeight="1" x14ac:dyDescent="0.2">
      <c r="B16" s="77"/>
      <c r="C16" s="156">
        <f t="array" ref="C16:I16">DaysAndWeeks+DATE(CalendarYear,4,1)-WEEKDAY(DATE(CalendarYear,4,1),(WeekStart="M")+1)+36</f>
        <v>45781</v>
      </c>
      <c r="D16" s="52">
        <v>45782</v>
      </c>
      <c r="E16" s="52">
        <v>45783</v>
      </c>
      <c r="F16" s="52">
        <v>45784</v>
      </c>
      <c r="G16" s="52">
        <v>45785</v>
      </c>
      <c r="H16" s="52">
        <v>45786</v>
      </c>
      <c r="I16" s="96">
        <v>45787</v>
      </c>
    </row>
    <row r="17" spans="2:9" s="6" customFormat="1" ht="75" customHeight="1" x14ac:dyDescent="0.15">
      <c r="B17" s="75"/>
      <c r="C17" s="129">
        <v>0.625</v>
      </c>
      <c r="D17" s="42"/>
      <c r="E17" s="42"/>
      <c r="F17" s="42"/>
      <c r="G17" s="42"/>
      <c r="H17" s="42"/>
      <c r="I17" s="92"/>
    </row>
    <row r="18" spans="2:9" ht="125" customHeight="1" thickBot="1" x14ac:dyDescent="0.2">
      <c r="B18" s="76"/>
      <c r="C18" s="184" t="s">
        <v>6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6" priority="1">
      <formula>AND(DAY(C18)&gt;=1,DAY(C18)&lt;=15)</formula>
    </cfRule>
  </conditionalFormatting>
  <conditionalFormatting sqref="C6:H6">
    <cfRule type="expression" dxfId="25" priority="3">
      <formula>DAY(C6)&gt;8</formula>
    </cfRule>
  </conditionalFormatting>
  <conditionalFormatting sqref="C14:I14 C15:D15 F15:I15 C16:I17">
    <cfRule type="expression" dxfId="24" priority="2">
      <formula>AND(DAY(C14)&gt;=1,DAY(C14)&lt;=15)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6" t="s">
        <v>41</v>
      </c>
      <c r="D2" s="177"/>
      <c r="E2" s="177"/>
      <c r="F2" s="177"/>
      <c r="G2" s="177"/>
      <c r="H2" s="177"/>
      <c r="I2" s="178"/>
    </row>
    <row r="3" spans="2:9" ht="20" customHeight="1" x14ac:dyDescent="0.3">
      <c r="B3" s="76"/>
      <c r="C3" s="59"/>
      <c r="D3" s="60"/>
      <c r="E3" s="60"/>
      <c r="F3" s="29"/>
      <c r="G3" s="18" t="s">
        <v>16</v>
      </c>
      <c r="H3" s="18" t="s">
        <v>17</v>
      </c>
      <c r="I3" s="80"/>
    </row>
    <row r="4" spans="2:9" ht="75" customHeight="1" x14ac:dyDescent="0.65">
      <c r="B4" s="76"/>
      <c r="C4" s="142">
        <f>CalendarYear</f>
        <v>2025</v>
      </c>
      <c r="D4" s="187" t="s">
        <v>18</v>
      </c>
      <c r="E4" s="187"/>
      <c r="F4" s="187"/>
      <c r="G4" s="187"/>
      <c r="H4" s="187"/>
      <c r="I4" s="143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65">
        <f t="array" ref="C6:I6">DaysAndWeeks+DATE(CalendarYear,5,1)-WEEKDAY(DATE(CalendarYear,5,1),(WeekStart="M")+1)+1</f>
        <v>45774</v>
      </c>
      <c r="D6" s="113">
        <v>45775</v>
      </c>
      <c r="E6" s="118">
        <v>45776</v>
      </c>
      <c r="F6" s="118">
        <v>45777</v>
      </c>
      <c r="G6" s="118">
        <v>45778</v>
      </c>
      <c r="H6" s="118">
        <v>45779</v>
      </c>
      <c r="I6" s="119">
        <v>45780</v>
      </c>
    </row>
    <row r="7" spans="2:9" s="54" customFormat="1" ht="75" customHeight="1" x14ac:dyDescent="0.15">
      <c r="B7" s="84"/>
      <c r="C7" s="157"/>
      <c r="D7" s="10"/>
      <c r="E7" s="129"/>
      <c r="F7" s="129"/>
      <c r="G7" s="133"/>
      <c r="H7" s="129">
        <v>0.625</v>
      </c>
      <c r="I7" s="85"/>
    </row>
    <row r="8" spans="2:9" s="35" customFormat="1" ht="25" customHeight="1" x14ac:dyDescent="0.2">
      <c r="B8" s="79"/>
      <c r="C8" s="117">
        <f t="array" ref="C8:I8">DaysAndWeeks+DATE(CalendarYear,5,1)-WEEKDAY(DATE(CalendarYear,5,1),(WeekStart="M")+1)+8</f>
        <v>45781</v>
      </c>
      <c r="D8" s="113">
        <v>45782</v>
      </c>
      <c r="E8" s="113">
        <v>45783</v>
      </c>
      <c r="F8" s="113">
        <v>45784</v>
      </c>
      <c r="G8" s="113">
        <v>45785</v>
      </c>
      <c r="H8" s="113">
        <v>45786</v>
      </c>
      <c r="I8" s="114">
        <v>45787</v>
      </c>
    </row>
    <row r="9" spans="2:9" s="54" customFormat="1" ht="75" customHeight="1" x14ac:dyDescent="0.15">
      <c r="B9" s="84"/>
      <c r="C9" s="129">
        <v>0.625</v>
      </c>
      <c r="D9" s="129"/>
      <c r="E9" s="129"/>
      <c r="F9" s="129"/>
      <c r="G9" s="129"/>
      <c r="H9" s="129">
        <v>0.625</v>
      </c>
      <c r="I9" s="85"/>
    </row>
    <row r="10" spans="2:9" s="35" customFormat="1" ht="25" customHeight="1" x14ac:dyDescent="0.2">
      <c r="B10" s="79"/>
      <c r="C10" s="117">
        <f t="array" ref="C10:I10">DaysAndWeeks+DATE(CalendarYear,5,1)-WEEKDAY(DATE(CalendarYear,5,1),(WeekStart="M")+1)+15</f>
        <v>45788</v>
      </c>
      <c r="D10" s="113">
        <v>45789</v>
      </c>
      <c r="E10" s="113">
        <v>45790</v>
      </c>
      <c r="F10" s="120">
        <v>45791</v>
      </c>
      <c r="G10" s="113">
        <v>45792</v>
      </c>
      <c r="H10" s="113">
        <v>45793</v>
      </c>
      <c r="I10" s="114">
        <v>45794</v>
      </c>
    </row>
    <row r="11" spans="2:9" s="54" customFormat="1" ht="75" customHeight="1" x14ac:dyDescent="0.15">
      <c r="B11" s="84"/>
      <c r="C11" s="129">
        <v>0.625</v>
      </c>
      <c r="D11" s="53"/>
      <c r="E11" s="129"/>
      <c r="F11" s="171"/>
      <c r="G11" s="133"/>
      <c r="H11" s="129">
        <v>0.625</v>
      </c>
      <c r="I11" s="85"/>
    </row>
    <row r="12" spans="2:9" s="35" customFormat="1" ht="25" customHeight="1" x14ac:dyDescent="0.2">
      <c r="B12" s="79"/>
      <c r="C12" s="117">
        <f t="array" ref="C12:I12">DaysAndWeeks+DATE(CalendarYear,5,1)-WEEKDAY(DATE(CalendarYear,5,1),(WeekStart="M")+1)+22</f>
        <v>45795</v>
      </c>
      <c r="D12" s="113">
        <v>45796</v>
      </c>
      <c r="E12" s="113">
        <v>45797</v>
      </c>
      <c r="F12" s="113">
        <v>45798</v>
      </c>
      <c r="G12" s="113">
        <v>45799</v>
      </c>
      <c r="H12" s="113">
        <v>45800</v>
      </c>
      <c r="I12" s="114">
        <v>45801</v>
      </c>
    </row>
    <row r="13" spans="2:9" s="54" customFormat="1" ht="75" customHeight="1" x14ac:dyDescent="0.15">
      <c r="B13" s="84"/>
      <c r="C13" s="129">
        <v>0.625</v>
      </c>
      <c r="D13" s="129">
        <v>0.625</v>
      </c>
      <c r="E13" s="129"/>
      <c r="F13" s="53"/>
      <c r="G13" s="129"/>
      <c r="H13" s="129">
        <v>0.625</v>
      </c>
      <c r="I13" s="85"/>
    </row>
    <row r="14" spans="2:9" s="35" customFormat="1" ht="25" customHeight="1" x14ac:dyDescent="0.2">
      <c r="B14" s="79"/>
      <c r="C14" s="117">
        <f t="array" ref="C14:I14">DaysAndWeeks+DATE(CalendarYear,5,1)-WEEKDAY(DATE(CalendarYear,5,1),(WeekStart="M")+1)+29</f>
        <v>45802</v>
      </c>
      <c r="D14" s="113">
        <v>45803</v>
      </c>
      <c r="E14" s="113">
        <v>45804</v>
      </c>
      <c r="F14" s="113">
        <v>45805</v>
      </c>
      <c r="G14" s="36">
        <v>45806</v>
      </c>
      <c r="H14" s="36">
        <v>45807</v>
      </c>
      <c r="I14" s="71">
        <v>45808</v>
      </c>
    </row>
    <row r="15" spans="2:9" s="54" customFormat="1" ht="75" customHeight="1" x14ac:dyDescent="0.15">
      <c r="B15" s="84"/>
      <c r="C15" s="129">
        <v>0.625</v>
      </c>
      <c r="D15" s="136"/>
      <c r="E15" s="129"/>
      <c r="F15" s="129"/>
      <c r="G15" s="55"/>
      <c r="H15" s="55"/>
      <c r="I15" s="91"/>
    </row>
    <row r="16" spans="2:9" s="33" customFormat="1" ht="25" customHeight="1" x14ac:dyDescent="0.2">
      <c r="B16" s="77"/>
      <c r="C16" s="43">
        <f t="array" ref="C16:I16">DaysAndWeeks+DATE(CalendarYear,5,1)-WEEKDAY(DATE(CalendarYear,5,1),(WeekStart="M")+1)+36</f>
        <v>45809</v>
      </c>
      <c r="D16" s="36">
        <v>45810</v>
      </c>
      <c r="E16" s="36">
        <v>45811</v>
      </c>
      <c r="F16" s="36">
        <v>45812</v>
      </c>
      <c r="G16" s="36">
        <v>45813</v>
      </c>
      <c r="H16" s="36">
        <v>45814</v>
      </c>
      <c r="I16" s="71">
        <v>45815</v>
      </c>
    </row>
    <row r="17" spans="2:9" ht="75" customHeight="1" x14ac:dyDescent="0.15">
      <c r="B17" s="76"/>
      <c r="C17" s="48"/>
      <c r="D17" s="47"/>
      <c r="E17" s="47"/>
      <c r="F17" s="47"/>
      <c r="G17" s="47"/>
      <c r="H17" s="47"/>
      <c r="I17" s="98"/>
    </row>
    <row r="18" spans="2:9" ht="125" customHeight="1" thickBot="1" x14ac:dyDescent="0.2">
      <c r="B18" s="76"/>
      <c r="C18" s="179" t="s">
        <v>6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4 D15 F15:I15 C16: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6" t="s">
        <v>41</v>
      </c>
      <c r="D2" s="177"/>
      <c r="E2" s="177"/>
      <c r="F2" s="177"/>
      <c r="G2" s="177"/>
      <c r="H2" s="177"/>
      <c r="I2" s="178"/>
    </row>
    <row r="3" spans="2:9" ht="20" customHeight="1" x14ac:dyDescent="0.3">
      <c r="B3" s="76"/>
      <c r="C3" s="59"/>
      <c r="D3" s="60"/>
      <c r="E3" s="60"/>
      <c r="F3" s="61"/>
      <c r="G3" s="18" t="s">
        <v>19</v>
      </c>
      <c r="H3" s="18" t="s">
        <v>20</v>
      </c>
      <c r="I3" s="80"/>
    </row>
    <row r="4" spans="2:9" ht="75" customHeight="1" x14ac:dyDescent="0.65">
      <c r="B4" s="76"/>
      <c r="C4" s="142">
        <f>CalendarYear</f>
        <v>2025</v>
      </c>
      <c r="D4" s="187" t="s">
        <v>21</v>
      </c>
      <c r="E4" s="187"/>
      <c r="F4" s="187"/>
      <c r="G4" s="187"/>
      <c r="H4" s="187"/>
      <c r="I4" s="143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DaysAndWeeks+DATE(CalendarYear,6,1)-WEEKDAY(DATE(CalendarYear,6,1),(WeekStart="M")+1)+1</f>
        <v>45809</v>
      </c>
      <c r="D6" s="36">
        <v>45810</v>
      </c>
      <c r="E6" s="36">
        <v>45811</v>
      </c>
      <c r="F6" s="36">
        <v>45812</v>
      </c>
      <c r="G6" s="34">
        <v>45813</v>
      </c>
      <c r="H6" s="34">
        <v>45814</v>
      </c>
      <c r="I6" s="69">
        <v>45815</v>
      </c>
    </row>
    <row r="7" spans="2:9" s="67" customFormat="1" ht="75" customHeight="1" x14ac:dyDescent="0.15">
      <c r="B7" s="78"/>
      <c r="C7" s="68"/>
      <c r="D7" s="66"/>
      <c r="E7" s="135"/>
      <c r="F7" s="158"/>
      <c r="G7" s="134"/>
      <c r="H7" s="125">
        <v>0.625</v>
      </c>
      <c r="I7" s="70"/>
    </row>
    <row r="8" spans="2:9" s="35" customFormat="1" ht="25" customHeight="1" x14ac:dyDescent="0.2">
      <c r="B8" s="79"/>
      <c r="C8" s="37">
        <f t="array" ref="C8:I8">DaysAndWeeks+DATE(CalendarYear,6,1)-WEEKDAY(DATE(CalendarYear,6,1),(WeekStart="M")+1)+8</f>
        <v>45816</v>
      </c>
      <c r="D8" s="34">
        <v>45817</v>
      </c>
      <c r="E8" s="34">
        <v>45818</v>
      </c>
      <c r="F8" s="34">
        <v>45819</v>
      </c>
      <c r="G8" s="34">
        <v>45820</v>
      </c>
      <c r="H8" s="34">
        <v>45821</v>
      </c>
      <c r="I8" s="69">
        <v>45822</v>
      </c>
    </row>
    <row r="9" spans="2:9" s="67" customFormat="1" ht="75" customHeight="1" x14ac:dyDescent="0.15">
      <c r="B9" s="78"/>
      <c r="C9" s="125">
        <v>0.625</v>
      </c>
      <c r="D9" s="125"/>
      <c r="E9" s="129"/>
      <c r="F9" s="125"/>
      <c r="G9" s="129"/>
      <c r="H9" s="125">
        <v>0.625</v>
      </c>
      <c r="I9" s="70"/>
    </row>
    <row r="10" spans="2:9" s="35" customFormat="1" ht="25" customHeight="1" x14ac:dyDescent="0.2">
      <c r="B10" s="79"/>
      <c r="C10" s="37">
        <f t="array" ref="C10:I10">DaysAndWeeks+DATE(CalendarYear,6,1)-WEEKDAY(DATE(CalendarYear,6,1),(WeekStart="M")+1)+15</f>
        <v>45823</v>
      </c>
      <c r="D10" s="34">
        <v>45824</v>
      </c>
      <c r="E10" s="34">
        <v>45825</v>
      </c>
      <c r="F10" s="34">
        <v>45826</v>
      </c>
      <c r="G10" s="34">
        <v>45827</v>
      </c>
      <c r="H10" s="34">
        <v>45828</v>
      </c>
      <c r="I10" s="69">
        <v>45829</v>
      </c>
    </row>
    <row r="11" spans="2:9" s="67" customFormat="1" ht="75" customHeight="1" x14ac:dyDescent="0.15">
      <c r="B11" s="78"/>
      <c r="C11" s="125">
        <v>0.625</v>
      </c>
      <c r="D11" s="137"/>
      <c r="E11" s="129"/>
      <c r="F11" s="125"/>
      <c r="G11" s="134"/>
      <c r="H11" s="125">
        <v>0.625</v>
      </c>
      <c r="I11" s="70"/>
    </row>
    <row r="12" spans="2:9" s="35" customFormat="1" ht="25" customHeight="1" x14ac:dyDescent="0.2">
      <c r="B12" s="79"/>
      <c r="C12" s="37">
        <f t="array" ref="C12:I12">DaysAndWeeks+DATE(CalendarYear,6,1)-WEEKDAY(DATE(CalendarYear,6,1),(WeekStart="M")+1)+22</f>
        <v>45830</v>
      </c>
      <c r="D12" s="34">
        <v>45831</v>
      </c>
      <c r="E12" s="34">
        <v>45832</v>
      </c>
      <c r="F12" s="34">
        <v>45833</v>
      </c>
      <c r="G12" s="34">
        <v>45834</v>
      </c>
      <c r="H12" s="34">
        <v>45835</v>
      </c>
      <c r="I12" s="69">
        <v>45836</v>
      </c>
    </row>
    <row r="13" spans="2:9" s="67" customFormat="1" ht="75" customHeight="1" x14ac:dyDescent="0.15">
      <c r="B13" s="78"/>
      <c r="C13" s="125">
        <v>0.625</v>
      </c>
      <c r="D13" s="125"/>
      <c r="E13" s="129"/>
      <c r="F13" s="125"/>
      <c r="G13" s="129"/>
      <c r="H13" s="125">
        <v>0.625</v>
      </c>
      <c r="I13" s="70"/>
    </row>
    <row r="14" spans="2:9" s="35" customFormat="1" ht="25" customHeight="1" x14ac:dyDescent="0.2">
      <c r="B14" s="79"/>
      <c r="C14" s="37">
        <f t="array" ref="C14:I14">DaysAndWeeks+DATE(CalendarYear,6,1)-WEEKDAY(DATE(CalendarYear,6,1),(WeekStart="M")+1)+29</f>
        <v>45837</v>
      </c>
      <c r="D14" s="34">
        <v>45838</v>
      </c>
      <c r="E14" s="34">
        <v>45839</v>
      </c>
      <c r="F14" s="34">
        <v>45840</v>
      </c>
      <c r="G14" s="34">
        <v>45841</v>
      </c>
      <c r="H14" s="144">
        <v>45842</v>
      </c>
      <c r="I14" s="71">
        <v>45843</v>
      </c>
    </row>
    <row r="15" spans="2:9" s="67" customFormat="1" ht="75" customHeight="1" x14ac:dyDescent="0.15">
      <c r="B15" s="78"/>
      <c r="C15" s="125">
        <v>0.625</v>
      </c>
      <c r="D15" s="137"/>
      <c r="E15" s="129"/>
      <c r="F15" s="125"/>
      <c r="G15" s="134"/>
      <c r="H15" s="125">
        <v>0.625</v>
      </c>
      <c r="I15" s="72"/>
    </row>
    <row r="16" spans="2:9" s="33" customFormat="1" ht="25" customHeight="1" x14ac:dyDescent="0.2">
      <c r="B16" s="77"/>
      <c r="C16" s="43">
        <f t="array" ref="C16:I16">DaysAndWeeks+DATE(CalendarYear,6,1)-WEEKDAY(DATE(CalendarYear,6,1),(WeekStart="M")+1)+36</f>
        <v>45844</v>
      </c>
      <c r="D16" s="36">
        <v>45845</v>
      </c>
      <c r="E16" s="36">
        <v>45846</v>
      </c>
      <c r="F16" s="36">
        <v>45847</v>
      </c>
      <c r="G16" s="36">
        <v>45848</v>
      </c>
      <c r="H16" s="36">
        <v>45849</v>
      </c>
      <c r="I16" s="71">
        <v>45850</v>
      </c>
    </row>
    <row r="17" spans="2:9" s="33" customFormat="1" ht="75" customHeight="1" x14ac:dyDescent="0.2">
      <c r="B17" s="77"/>
      <c r="C17" s="73"/>
      <c r="D17" s="64"/>
      <c r="E17" s="64"/>
      <c r="F17" s="64"/>
      <c r="G17" s="64"/>
      <c r="H17" s="64"/>
      <c r="I17" s="74"/>
    </row>
    <row r="18" spans="2:9" ht="125" customHeight="1" thickBot="1" x14ac:dyDescent="0.2">
      <c r="B18" s="76"/>
      <c r="C18" s="184" t="s">
        <v>6</v>
      </c>
      <c r="D18" s="185"/>
      <c r="E18" s="185"/>
      <c r="F18" s="185"/>
      <c r="G18" s="185"/>
      <c r="H18" s="185"/>
      <c r="I18" s="18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4 D15 F15:I15 C16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6" t="s">
        <v>41</v>
      </c>
      <c r="D2" s="177"/>
      <c r="E2" s="177"/>
      <c r="F2" s="177"/>
      <c r="G2" s="177"/>
      <c r="H2" s="177"/>
      <c r="I2" s="178"/>
    </row>
    <row r="3" spans="2:9" ht="20" customHeight="1" x14ac:dyDescent="0.3">
      <c r="B3" s="76"/>
      <c r="C3" s="59"/>
      <c r="D3" s="60"/>
      <c r="E3" s="60"/>
      <c r="F3" s="61"/>
      <c r="G3" s="18" t="s">
        <v>22</v>
      </c>
      <c r="H3" s="18" t="s">
        <v>23</v>
      </c>
      <c r="I3" s="80"/>
    </row>
    <row r="4" spans="2:9" ht="75" customHeight="1" x14ac:dyDescent="0.65">
      <c r="B4" s="76"/>
      <c r="C4" s="142">
        <f>CalendarYear</f>
        <v>2025</v>
      </c>
      <c r="D4" s="183" t="s">
        <v>24</v>
      </c>
      <c r="E4" s="183"/>
      <c r="F4" s="183"/>
      <c r="G4" s="183"/>
      <c r="H4" s="183"/>
      <c r="I4" s="143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43">
        <f t="array" ref="C6:I6">DaysAndWeeks+DATE(CalendarYear,7,1)-WEEKDAY(DATE(CalendarYear,7,1),(WeekStart="M")+1)+1</f>
        <v>45837</v>
      </c>
      <c r="D6" s="36">
        <v>45838</v>
      </c>
      <c r="E6" s="36">
        <v>45839</v>
      </c>
      <c r="F6" s="65">
        <v>45840</v>
      </c>
      <c r="G6" s="36">
        <v>45841</v>
      </c>
      <c r="H6" s="36">
        <v>45842</v>
      </c>
      <c r="I6" s="69">
        <v>45843</v>
      </c>
    </row>
    <row r="7" spans="2:9" s="54" customFormat="1" ht="75" customHeight="1" x14ac:dyDescent="0.15">
      <c r="B7" s="84"/>
      <c r="C7" s="57"/>
      <c r="D7" s="55"/>
      <c r="E7" s="55"/>
      <c r="F7" s="99"/>
      <c r="G7" s="138"/>
      <c r="H7" s="55"/>
      <c r="I7" s="85"/>
    </row>
    <row r="8" spans="2:9" s="35" customFormat="1" ht="25" customHeight="1" x14ac:dyDescent="0.2">
      <c r="B8" s="79"/>
      <c r="C8" s="37">
        <f t="array" ref="C8:I8">DaysAndWeeks+DATE(CalendarYear,7,1)-WEEKDAY(DATE(CalendarYear,7,1),(WeekStart="M")+1)+8</f>
        <v>45844</v>
      </c>
      <c r="D8" s="34">
        <v>45845</v>
      </c>
      <c r="E8" s="34">
        <v>45846</v>
      </c>
      <c r="F8" s="34">
        <v>45847</v>
      </c>
      <c r="G8" s="34">
        <v>45848</v>
      </c>
      <c r="H8" s="34">
        <v>45849</v>
      </c>
      <c r="I8" s="69">
        <v>45850</v>
      </c>
    </row>
    <row r="9" spans="2:9" s="54" customFormat="1" ht="75" customHeight="1" x14ac:dyDescent="0.15">
      <c r="B9" s="84"/>
      <c r="C9" s="129">
        <v>0.625</v>
      </c>
      <c r="D9" s="129"/>
      <c r="E9" s="129"/>
      <c r="F9" s="129"/>
      <c r="G9" s="129"/>
      <c r="H9" s="129">
        <v>0.625</v>
      </c>
      <c r="I9" s="85"/>
    </row>
    <row r="10" spans="2:9" s="35" customFormat="1" ht="25" customHeight="1" x14ac:dyDescent="0.2">
      <c r="B10" s="79"/>
      <c r="C10" s="37">
        <f t="array" ref="C10:I10">DaysAndWeeks+DATE(CalendarYear,7,1)-WEEKDAY(DATE(CalendarYear,7,1),(WeekStart="M")+1)+15</f>
        <v>45851</v>
      </c>
      <c r="D10" s="34">
        <v>45852</v>
      </c>
      <c r="E10" s="34">
        <v>45853</v>
      </c>
      <c r="F10" s="34">
        <v>45854</v>
      </c>
      <c r="G10" s="34">
        <v>45855</v>
      </c>
      <c r="H10" s="34">
        <v>45856</v>
      </c>
      <c r="I10" s="69">
        <v>45857</v>
      </c>
    </row>
    <row r="11" spans="2:9" s="54" customFormat="1" ht="75" customHeight="1" x14ac:dyDescent="0.15">
      <c r="B11" s="84"/>
      <c r="C11" s="129">
        <v>0.625</v>
      </c>
      <c r="D11" s="136"/>
      <c r="E11" s="129"/>
      <c r="F11" s="129"/>
      <c r="G11" s="133"/>
      <c r="H11" s="129">
        <v>0.625</v>
      </c>
      <c r="I11" s="85"/>
    </row>
    <row r="12" spans="2:9" s="35" customFormat="1" ht="25" customHeight="1" x14ac:dyDescent="0.2">
      <c r="B12" s="79"/>
      <c r="C12" s="37">
        <f t="array" ref="C12:I12">DaysAndWeeks+DATE(CalendarYear,7,1)-WEEKDAY(DATE(CalendarYear,7,1),(WeekStart="M")+1)+22</f>
        <v>45858</v>
      </c>
      <c r="D12" s="34">
        <v>45859</v>
      </c>
      <c r="E12" s="34">
        <v>45860</v>
      </c>
      <c r="F12" s="34">
        <v>45861</v>
      </c>
      <c r="G12" s="34">
        <v>45862</v>
      </c>
      <c r="H12" s="34">
        <v>45863</v>
      </c>
      <c r="I12" s="69">
        <v>45864</v>
      </c>
    </row>
    <row r="13" spans="2:9" s="54" customFormat="1" ht="75" customHeight="1" x14ac:dyDescent="0.15">
      <c r="B13" s="84"/>
      <c r="C13" s="129">
        <v>0.625</v>
      </c>
      <c r="D13" s="129"/>
      <c r="E13" s="129"/>
      <c r="F13" s="129"/>
      <c r="G13" s="129"/>
      <c r="H13" s="129">
        <v>0.625</v>
      </c>
      <c r="I13" s="85"/>
    </row>
    <row r="14" spans="2:9" s="33" customFormat="1" ht="25" customHeight="1" x14ac:dyDescent="0.2">
      <c r="B14" s="77"/>
      <c r="C14" s="37">
        <f t="array" ref="C14:I14">DaysAndWeeks+DATE(CalendarYear,7,1)-WEEKDAY(DATE(CalendarYear,7,1),(WeekStart="M")+1)+29</f>
        <v>45865</v>
      </c>
      <c r="D14" s="34">
        <v>45866</v>
      </c>
      <c r="E14" s="34">
        <v>45867</v>
      </c>
      <c r="F14" s="34">
        <v>45868</v>
      </c>
      <c r="G14" s="34">
        <v>45869</v>
      </c>
      <c r="H14" s="34">
        <v>45870</v>
      </c>
      <c r="I14" s="69">
        <v>45871</v>
      </c>
    </row>
    <row r="15" spans="2:9" s="54" customFormat="1" ht="75" customHeight="1" x14ac:dyDescent="0.15">
      <c r="B15" s="84"/>
      <c r="C15" s="129">
        <v>0.625</v>
      </c>
      <c r="D15" s="136"/>
      <c r="E15" s="129"/>
      <c r="F15" s="129"/>
      <c r="G15" s="133"/>
      <c r="H15" s="129">
        <v>0.625</v>
      </c>
      <c r="I15" s="100"/>
    </row>
    <row r="16" spans="2:9" s="35" customFormat="1" ht="25" customHeight="1" x14ac:dyDescent="0.2">
      <c r="B16" s="79"/>
      <c r="C16" s="37">
        <f t="array" ref="C16:I16">DaysAndWeeks+DATE(CalendarYear,7,1)-WEEKDAY(DATE(CalendarYear,7,1),(WeekStart="M")+1)+36</f>
        <v>45872</v>
      </c>
      <c r="D16" s="113">
        <v>45873</v>
      </c>
      <c r="E16" s="36">
        <v>45874</v>
      </c>
      <c r="F16" s="36">
        <v>45875</v>
      </c>
      <c r="G16" s="36">
        <v>45876</v>
      </c>
      <c r="H16" s="36">
        <v>45877</v>
      </c>
      <c r="I16" s="71">
        <v>45878</v>
      </c>
    </row>
    <row r="17" spans="2:9" s="54" customFormat="1" ht="75" customHeight="1" x14ac:dyDescent="0.15">
      <c r="B17" s="84"/>
      <c r="C17" s="129">
        <v>0.625</v>
      </c>
      <c r="D17" s="129"/>
      <c r="E17" s="55"/>
      <c r="F17" s="55"/>
      <c r="G17" s="55"/>
      <c r="H17" s="55"/>
      <c r="I17" s="91"/>
    </row>
    <row r="18" spans="2:9" ht="125" customHeight="1" thickBot="1" x14ac:dyDescent="0.2">
      <c r="B18" s="76"/>
      <c r="C18" s="179" t="s">
        <v>6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4 D15 F15:I15 C16: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7" x14ac:dyDescent="0.15"/>
  <cols>
    <col min="1" max="2" width="2.625" style="33" customWidth="1"/>
    <col min="3" max="9" width="24.375" style="33" customWidth="1"/>
    <col min="10" max="16384" width="8.625" style="33"/>
  </cols>
  <sheetData>
    <row r="1" spans="2:9" ht="15" customHeight="1" thickBot="1" x14ac:dyDescent="0.2"/>
    <row r="2" spans="2:9" ht="75" customHeight="1" thickTop="1" x14ac:dyDescent="0.15">
      <c r="B2" s="77"/>
      <c r="C2" s="176" t="s">
        <v>41</v>
      </c>
      <c r="D2" s="177"/>
      <c r="E2" s="177"/>
      <c r="F2" s="177"/>
      <c r="G2" s="177"/>
      <c r="H2" s="177"/>
      <c r="I2" s="178"/>
    </row>
    <row r="3" spans="2:9" ht="20" customHeight="1" x14ac:dyDescent="0.2">
      <c r="B3" s="77"/>
      <c r="C3" s="101"/>
      <c r="D3" s="102"/>
      <c r="E3" s="102"/>
      <c r="F3" s="103"/>
      <c r="G3" s="49" t="s">
        <v>25</v>
      </c>
      <c r="H3" s="49" t="s">
        <v>26</v>
      </c>
      <c r="I3" s="109"/>
    </row>
    <row r="4" spans="2:9" ht="75" customHeight="1" x14ac:dyDescent="0.65">
      <c r="B4" s="77"/>
      <c r="C4" s="142">
        <f>CalendarYear</f>
        <v>2025</v>
      </c>
      <c r="D4" s="183" t="s">
        <v>27</v>
      </c>
      <c r="E4" s="183"/>
      <c r="F4" s="183"/>
      <c r="G4" s="183"/>
      <c r="H4" s="183"/>
      <c r="I4" s="143"/>
    </row>
    <row r="5" spans="2:9" ht="35" customHeight="1" x14ac:dyDescent="0.15">
      <c r="B5" s="77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104" customFormat="1" ht="25" customHeight="1" x14ac:dyDescent="0.2">
      <c r="B6" s="107"/>
      <c r="C6" s="106">
        <f t="array" ref="C6:I6">DaysAndWeeks+DATE(CalendarYear,8,1)-WEEKDAY(DATE(CalendarYear,8,1),(WeekStart="M")+1)+1</f>
        <v>45865</v>
      </c>
      <c r="D6" s="106">
        <v>45866</v>
      </c>
      <c r="E6" s="63">
        <v>45867</v>
      </c>
      <c r="F6" s="63">
        <v>45868</v>
      </c>
      <c r="G6" s="63">
        <v>45869</v>
      </c>
      <c r="H6" s="63">
        <v>45870</v>
      </c>
      <c r="I6" s="108">
        <v>45871</v>
      </c>
    </row>
    <row r="7" spans="2:9" s="67" customFormat="1" ht="75" customHeight="1" x14ac:dyDescent="0.15">
      <c r="B7" s="78"/>
      <c r="C7" s="139">
        <v>0.625</v>
      </c>
      <c r="D7" s="139"/>
      <c r="E7" s="129"/>
      <c r="F7" s="125"/>
      <c r="G7" s="129"/>
      <c r="H7" s="125">
        <v>0.625</v>
      </c>
      <c r="I7" s="70"/>
    </row>
    <row r="8" spans="2:9" ht="25" customHeight="1" x14ac:dyDescent="0.2">
      <c r="B8" s="77"/>
      <c r="C8" s="37">
        <f t="array" ref="C8:I8">DaysAndWeeks+DATE(CalendarYear,8,1)-WEEKDAY(DATE(CalendarYear,8,1),(WeekStart="M")+1)+8</f>
        <v>45872</v>
      </c>
      <c r="D8" s="113">
        <v>45873</v>
      </c>
      <c r="E8" s="34">
        <v>45874</v>
      </c>
      <c r="F8" s="34">
        <v>45875</v>
      </c>
      <c r="G8" s="34">
        <v>45876</v>
      </c>
      <c r="H8" s="34">
        <v>45877</v>
      </c>
      <c r="I8" s="69">
        <v>45878</v>
      </c>
    </row>
    <row r="9" spans="2:9" s="67" customFormat="1" ht="75" customHeight="1" x14ac:dyDescent="0.15">
      <c r="B9" s="78"/>
      <c r="C9" s="125">
        <v>0.625</v>
      </c>
      <c r="D9" s="137"/>
      <c r="E9" s="129"/>
      <c r="F9" s="125"/>
      <c r="G9" s="134"/>
      <c r="H9" s="125">
        <v>0.625</v>
      </c>
      <c r="I9" s="70"/>
    </row>
    <row r="10" spans="2:9" ht="25" customHeight="1" x14ac:dyDescent="0.2">
      <c r="B10" s="77"/>
      <c r="C10" s="37">
        <f t="array" ref="C10:I10">DaysAndWeeks+DATE(CalendarYear,8,1)-WEEKDAY(DATE(CalendarYear,8,1),(WeekStart="M")+1)+15</f>
        <v>45879</v>
      </c>
      <c r="D10" s="113">
        <v>45880</v>
      </c>
      <c r="E10" s="34">
        <v>45881</v>
      </c>
      <c r="F10" s="34">
        <v>45882</v>
      </c>
      <c r="G10" s="34">
        <v>45883</v>
      </c>
      <c r="H10" s="34">
        <v>45884</v>
      </c>
      <c r="I10" s="69">
        <v>45885</v>
      </c>
    </row>
    <row r="11" spans="2:9" s="67" customFormat="1" ht="75" customHeight="1" x14ac:dyDescent="0.15">
      <c r="B11" s="78"/>
      <c r="C11" s="125">
        <v>0.625</v>
      </c>
      <c r="D11" s="125"/>
      <c r="E11" s="129"/>
      <c r="F11" s="125"/>
      <c r="G11" s="129"/>
      <c r="H11" s="125">
        <v>0.625</v>
      </c>
      <c r="I11" s="70"/>
    </row>
    <row r="12" spans="2:9" ht="25" customHeight="1" x14ac:dyDescent="0.2">
      <c r="B12" s="77"/>
      <c r="C12" s="37">
        <f t="array" ref="C12:I12">DaysAndWeeks+DATE(CalendarYear,8,1)-WEEKDAY(DATE(CalendarYear,8,1),(WeekStart="M")+1)+22</f>
        <v>45886</v>
      </c>
      <c r="D12" s="113">
        <v>45887</v>
      </c>
      <c r="E12" s="34">
        <v>45888</v>
      </c>
      <c r="F12" s="34">
        <v>45889</v>
      </c>
      <c r="G12" s="34">
        <v>45890</v>
      </c>
      <c r="H12" s="34">
        <v>45891</v>
      </c>
      <c r="I12" s="69">
        <v>45892</v>
      </c>
    </row>
    <row r="13" spans="2:9" s="67" customFormat="1" ht="75" customHeight="1" x14ac:dyDescent="0.15">
      <c r="B13" s="78"/>
      <c r="C13" s="125">
        <v>0.625</v>
      </c>
      <c r="D13" s="137"/>
      <c r="E13" s="129"/>
      <c r="F13" s="125"/>
      <c r="G13" s="134"/>
      <c r="H13" s="125">
        <v>0.625</v>
      </c>
      <c r="I13" s="70"/>
    </row>
    <row r="14" spans="2:9" ht="25" customHeight="1" x14ac:dyDescent="0.2">
      <c r="B14" s="77"/>
      <c r="C14" s="37">
        <f t="array" ref="C14:I14">DaysAndWeeks+DATE(CalendarYear,8,1)-WEEKDAY(DATE(CalendarYear,8,1),(WeekStart="M")+1)+29</f>
        <v>45893</v>
      </c>
      <c r="D14" s="34">
        <v>45894</v>
      </c>
      <c r="E14" s="34">
        <v>45895</v>
      </c>
      <c r="F14" s="34">
        <v>45896</v>
      </c>
      <c r="G14" s="113">
        <v>45897</v>
      </c>
      <c r="H14" s="36">
        <v>45898</v>
      </c>
      <c r="I14" s="71">
        <v>45899</v>
      </c>
    </row>
    <row r="15" spans="2:9" s="67" customFormat="1" ht="75" customHeight="1" x14ac:dyDescent="0.15">
      <c r="B15" s="78"/>
      <c r="C15" s="125">
        <v>0.625</v>
      </c>
      <c r="D15" s="125"/>
      <c r="E15" s="129"/>
      <c r="F15" s="125"/>
      <c r="G15" s="129"/>
      <c r="H15" s="66"/>
      <c r="I15" s="72"/>
    </row>
    <row r="16" spans="2:9" ht="25" customHeight="1" x14ac:dyDescent="0.2">
      <c r="B16" s="77"/>
      <c r="C16" s="43">
        <f t="array" ref="C16:I16">DaysAndWeeks+DATE(CalendarYear,8,1)-WEEKDAY(DATE(CalendarYear,8,1),(WeekStart="M")+1)+36</f>
        <v>45900</v>
      </c>
      <c r="D16" s="36">
        <v>45901</v>
      </c>
      <c r="E16" s="36">
        <v>45902</v>
      </c>
      <c r="F16" s="36">
        <v>45903</v>
      </c>
      <c r="G16" s="36">
        <v>45904</v>
      </c>
      <c r="H16" s="36">
        <v>45905</v>
      </c>
      <c r="I16" s="71">
        <v>45906</v>
      </c>
    </row>
    <row r="17" spans="2:9" s="67" customFormat="1" ht="75" customHeight="1" x14ac:dyDescent="0.15">
      <c r="B17" s="78"/>
      <c r="C17" s="68"/>
      <c r="D17" s="66"/>
      <c r="E17" s="66"/>
      <c r="F17" s="66"/>
      <c r="G17" s="66"/>
      <c r="H17" s="66"/>
      <c r="I17" s="72"/>
    </row>
    <row r="18" spans="2:9" s="1" customFormat="1" ht="125" customHeight="1" thickBot="1" x14ac:dyDescent="0.2">
      <c r="B18" s="76"/>
      <c r="C18" s="179" t="s">
        <v>6</v>
      </c>
      <c r="D18" s="180"/>
      <c r="E18" s="180"/>
      <c r="F18" s="180"/>
      <c r="G18" s="180"/>
      <c r="H18" s="180"/>
      <c r="I18" s="181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4" priority="1">
      <formula>AND(DAY(C18)&gt;=1,DAY(C18)&lt;=15)</formula>
    </cfRule>
  </conditionalFormatting>
  <conditionalFormatting sqref="C6:H6">
    <cfRule type="expression" dxfId="13" priority="3">
      <formula>DAY(C6)&gt;8</formula>
    </cfRule>
  </conditionalFormatting>
  <conditionalFormatting sqref="C14:I14 C15:D15 F15 H15:I15 C16: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6" t="s">
        <v>41</v>
      </c>
      <c r="D2" s="177"/>
      <c r="E2" s="177"/>
      <c r="F2" s="177"/>
      <c r="G2" s="177"/>
      <c r="H2" s="177"/>
      <c r="I2" s="178"/>
    </row>
    <row r="3" spans="2:9" ht="20" customHeight="1" x14ac:dyDescent="0.3">
      <c r="B3" s="76"/>
      <c r="C3" s="59"/>
      <c r="D3" s="60"/>
      <c r="E3" s="60"/>
      <c r="F3" s="61"/>
      <c r="G3" s="18" t="s">
        <v>28</v>
      </c>
      <c r="H3" s="18" t="s">
        <v>29</v>
      </c>
      <c r="I3" s="80"/>
    </row>
    <row r="4" spans="2:9" ht="75" customHeight="1" x14ac:dyDescent="0.65">
      <c r="B4" s="76"/>
      <c r="C4" s="142">
        <f>CalendarYear</f>
        <v>2025</v>
      </c>
      <c r="D4" s="188" t="s">
        <v>30</v>
      </c>
      <c r="E4" s="188"/>
      <c r="F4" s="188"/>
      <c r="G4" s="188"/>
      <c r="H4" s="188"/>
      <c r="I4" s="141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43">
        <f t="array" ref="C6:I6">DaysAndWeeks+DATE(CalendarYear,9,1)-WEEKDAY(DATE(CalendarYear,9,1),(WeekStart="M")+1)+1</f>
        <v>45900</v>
      </c>
      <c r="D6" s="36">
        <v>45901</v>
      </c>
      <c r="E6" s="36">
        <v>45902</v>
      </c>
      <c r="F6" s="36">
        <v>45903</v>
      </c>
      <c r="G6" s="36">
        <v>45904</v>
      </c>
      <c r="H6" s="34">
        <v>45905</v>
      </c>
      <c r="I6" s="69">
        <v>45906</v>
      </c>
    </row>
    <row r="7" spans="2:9" s="54" customFormat="1" ht="75" customHeight="1" x14ac:dyDescent="0.15">
      <c r="B7" s="84"/>
      <c r="C7" s="57"/>
      <c r="D7" s="55"/>
      <c r="E7" s="55"/>
      <c r="F7" s="55"/>
      <c r="G7" s="138"/>
      <c r="H7" s="129">
        <v>0.625</v>
      </c>
      <c r="I7" s="85"/>
    </row>
    <row r="8" spans="2:9" s="35" customFormat="1" ht="25" customHeight="1" x14ac:dyDescent="0.2">
      <c r="B8" s="79"/>
      <c r="C8" s="37">
        <f t="array" ref="C8:I8">DaysAndWeeks+DATE(CalendarYear,9,1)-WEEKDAY(DATE(CalendarYear,9,1),(WeekStart="M")+1)+8</f>
        <v>45907</v>
      </c>
      <c r="D8" s="34">
        <v>45908</v>
      </c>
      <c r="E8" s="34">
        <v>45909</v>
      </c>
      <c r="F8" s="34">
        <v>45910</v>
      </c>
      <c r="G8" s="34">
        <v>45911</v>
      </c>
      <c r="H8" s="34">
        <v>45912</v>
      </c>
      <c r="I8" s="69">
        <v>45913</v>
      </c>
    </row>
    <row r="9" spans="2:9" s="54" customFormat="1" ht="75" customHeight="1" x14ac:dyDescent="0.15">
      <c r="B9" s="84"/>
      <c r="C9" s="173">
        <v>0.625</v>
      </c>
      <c r="D9" s="136"/>
      <c r="E9" s="129"/>
      <c r="F9" s="173"/>
      <c r="G9" s="133"/>
      <c r="H9" s="173">
        <v>0.625</v>
      </c>
      <c r="I9" s="85"/>
    </row>
    <row r="10" spans="2:9" s="35" customFormat="1" ht="25" customHeight="1" x14ac:dyDescent="0.2">
      <c r="B10" s="79"/>
      <c r="C10" s="37">
        <f t="array" ref="C10:I10">DaysAndWeeks+DATE(CalendarYear,9,1)-WEEKDAY(DATE(CalendarYear,9,1),(WeekStart="M")+1)+15</f>
        <v>45914</v>
      </c>
      <c r="D10" s="34">
        <v>45915</v>
      </c>
      <c r="E10" s="34">
        <v>45916</v>
      </c>
      <c r="F10" s="34">
        <v>45917</v>
      </c>
      <c r="G10" s="34">
        <v>45918</v>
      </c>
      <c r="H10" s="34">
        <v>45919</v>
      </c>
      <c r="I10" s="69">
        <v>45920</v>
      </c>
    </row>
    <row r="11" spans="2:9" s="54" customFormat="1" ht="75" customHeight="1" x14ac:dyDescent="0.15">
      <c r="B11" s="84"/>
      <c r="C11" s="129">
        <v>0.625</v>
      </c>
      <c r="D11" s="129"/>
      <c r="E11" s="129"/>
      <c r="F11" s="173"/>
      <c r="G11" s="129"/>
      <c r="H11" s="129">
        <v>0.625</v>
      </c>
      <c r="I11" s="85"/>
    </row>
    <row r="12" spans="2:9" s="35" customFormat="1" ht="25" customHeight="1" x14ac:dyDescent="0.2">
      <c r="B12" s="79"/>
      <c r="C12" s="37">
        <f t="array" ref="C12:I12">DaysAndWeeks+DATE(CalendarYear,9,1)-WEEKDAY(DATE(CalendarYear,9,1),(WeekStart="M")+1)+22</f>
        <v>45921</v>
      </c>
      <c r="D12" s="34">
        <v>45922</v>
      </c>
      <c r="E12" s="34">
        <v>45923</v>
      </c>
      <c r="F12" s="34">
        <v>45924</v>
      </c>
      <c r="G12" s="34">
        <v>45925</v>
      </c>
      <c r="H12" s="34">
        <v>45926</v>
      </c>
      <c r="I12" s="69">
        <v>45927</v>
      </c>
    </row>
    <row r="13" spans="2:9" s="54" customFormat="1" ht="75" customHeight="1" x14ac:dyDescent="0.15">
      <c r="B13" s="84"/>
      <c r="C13" s="129">
        <v>0.625</v>
      </c>
      <c r="D13" s="136"/>
      <c r="E13" s="129"/>
      <c r="F13" s="173"/>
      <c r="G13" s="133"/>
      <c r="H13" s="173">
        <v>0.625</v>
      </c>
      <c r="I13" s="85"/>
    </row>
    <row r="14" spans="2:9" s="35" customFormat="1" ht="25" customHeight="1" x14ac:dyDescent="0.2">
      <c r="B14" s="79"/>
      <c r="C14" s="37">
        <f t="array" ref="C14:I14">DaysAndWeeks+DATE(CalendarYear,9,1)-WEEKDAY(DATE(CalendarYear,9,1),(WeekStart="M")+1)+29</f>
        <v>45928</v>
      </c>
      <c r="D14" s="34">
        <v>45929</v>
      </c>
      <c r="E14" s="34">
        <v>45930</v>
      </c>
      <c r="F14" s="34">
        <v>45931</v>
      </c>
      <c r="G14" s="34">
        <v>45932</v>
      </c>
      <c r="H14" s="34">
        <v>45933</v>
      </c>
      <c r="I14" s="161">
        <v>45934</v>
      </c>
    </row>
    <row r="15" spans="2:9" s="54" customFormat="1" ht="75" customHeight="1" x14ac:dyDescent="0.15">
      <c r="B15" s="84"/>
      <c r="C15" s="129">
        <v>0.625</v>
      </c>
      <c r="D15" s="129"/>
      <c r="E15" s="129"/>
      <c r="F15" s="173"/>
      <c r="G15" s="129"/>
      <c r="H15" s="129">
        <v>0.625</v>
      </c>
      <c r="I15" s="160"/>
    </row>
    <row r="16" spans="2:9" s="35" customFormat="1" ht="25" customHeight="1" x14ac:dyDescent="0.2">
      <c r="B16" s="79"/>
      <c r="C16" s="43">
        <f t="array" ref="C16:I16">DaysAndWeeks+DATE(CalendarYear,9,1)-WEEKDAY(DATE(CalendarYear,9,1),(WeekStart="M")+1)+36</f>
        <v>45935</v>
      </c>
      <c r="D16" s="36">
        <v>45936</v>
      </c>
      <c r="E16" s="36">
        <v>45937</v>
      </c>
      <c r="F16" s="36">
        <v>45938</v>
      </c>
      <c r="G16" s="36">
        <v>45939</v>
      </c>
      <c r="H16" s="36">
        <v>45940</v>
      </c>
      <c r="I16" s="71">
        <v>45941</v>
      </c>
    </row>
    <row r="17" spans="2:9" s="54" customFormat="1" ht="75" customHeight="1" x14ac:dyDescent="0.15">
      <c r="B17" s="84"/>
      <c r="C17" s="57"/>
      <c r="D17" s="55"/>
      <c r="E17" s="55"/>
      <c r="F17" s="55"/>
      <c r="G17" s="55"/>
      <c r="H17" s="55"/>
      <c r="I17" s="91"/>
    </row>
    <row r="18" spans="2:9" ht="125" customHeight="1" thickBot="1" x14ac:dyDescent="0.2">
      <c r="B18" s="76"/>
      <c r="C18" s="179" t="s">
        <v>6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4 C15:D15 F15 H15:I15 C16: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="89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7" x14ac:dyDescent="0.15"/>
  <cols>
    <col min="1" max="2" width="2.625" style="33" customWidth="1"/>
    <col min="3" max="9" width="24.375" style="33" customWidth="1"/>
    <col min="10" max="16384" width="8.625" style="33"/>
  </cols>
  <sheetData>
    <row r="1" spans="2:9" ht="15" customHeight="1" thickBot="1" x14ac:dyDescent="0.2">
      <c r="C1" s="112"/>
      <c r="D1" s="112"/>
      <c r="E1" s="112"/>
      <c r="F1" s="112"/>
      <c r="G1" s="112"/>
      <c r="H1" s="112"/>
      <c r="I1" s="112"/>
    </row>
    <row r="2" spans="2:9" ht="75" customHeight="1" thickTop="1" x14ac:dyDescent="0.15">
      <c r="B2" s="77"/>
      <c r="C2" s="176" t="s">
        <v>41</v>
      </c>
      <c r="D2" s="177"/>
      <c r="E2" s="177"/>
      <c r="F2" s="177"/>
      <c r="G2" s="177"/>
      <c r="H2" s="177"/>
      <c r="I2" s="178"/>
    </row>
    <row r="3" spans="2:9" ht="20" customHeight="1" x14ac:dyDescent="0.2">
      <c r="B3" s="77"/>
      <c r="C3" s="101"/>
      <c r="D3" s="102"/>
      <c r="E3" s="102"/>
      <c r="F3" s="103"/>
      <c r="G3" s="18" t="s">
        <v>31</v>
      </c>
      <c r="H3" s="18" t="s">
        <v>32</v>
      </c>
      <c r="I3" s="109"/>
    </row>
    <row r="4" spans="2:9" ht="75" customHeight="1" x14ac:dyDescent="0.65">
      <c r="B4" s="77"/>
      <c r="C4" s="142">
        <f>CalendarYear</f>
        <v>2025</v>
      </c>
      <c r="D4" s="188" t="s">
        <v>33</v>
      </c>
      <c r="E4" s="188"/>
      <c r="F4" s="188"/>
      <c r="G4" s="188"/>
      <c r="H4" s="188"/>
      <c r="I4" s="141"/>
    </row>
    <row r="5" spans="2:9" ht="35" customHeight="1" x14ac:dyDescent="0.15">
      <c r="B5" s="77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ht="25" customHeight="1" x14ac:dyDescent="0.2">
      <c r="B6" s="77"/>
      <c r="C6" s="117">
        <f t="array" ref="C6:I6">DaysAndWeeks+DATE(CalendarYear,10,1)-WEEKDAY(DATE(CalendarYear,10,1),(WeekStart="M")+1)+1</f>
        <v>45928</v>
      </c>
      <c r="D6" s="113">
        <v>45929</v>
      </c>
      <c r="E6" s="113">
        <v>45930</v>
      </c>
      <c r="F6" s="113">
        <v>45931</v>
      </c>
      <c r="G6" s="113">
        <v>45932</v>
      </c>
      <c r="H6" s="113">
        <v>45933</v>
      </c>
      <c r="I6" s="69">
        <v>45934</v>
      </c>
    </row>
    <row r="7" spans="2:9" s="67" customFormat="1" ht="75" customHeight="1" x14ac:dyDescent="0.15">
      <c r="B7" s="78"/>
      <c r="C7" s="125">
        <v>0.625</v>
      </c>
      <c r="D7" s="62"/>
      <c r="E7" s="125"/>
      <c r="F7" s="125"/>
      <c r="G7" s="125"/>
      <c r="H7" s="125">
        <v>0.625</v>
      </c>
      <c r="I7" s="70"/>
    </row>
    <row r="8" spans="2:9" ht="25" customHeight="1" x14ac:dyDescent="0.2">
      <c r="B8" s="77"/>
      <c r="C8" s="37">
        <f t="array" ref="C8:I8">DaysAndWeeks+DATE(CalendarYear,10,1)-WEEKDAY(DATE(CalendarYear,10,1),(WeekStart="M")+1)+8</f>
        <v>45935</v>
      </c>
      <c r="D8" s="34">
        <v>45936</v>
      </c>
      <c r="E8" s="34">
        <v>45937</v>
      </c>
      <c r="F8" s="34">
        <v>45938</v>
      </c>
      <c r="G8" s="34">
        <v>45939</v>
      </c>
      <c r="H8" s="34">
        <v>45940</v>
      </c>
      <c r="I8" s="69">
        <v>45941</v>
      </c>
    </row>
    <row r="9" spans="2:9" s="67" customFormat="1" ht="75" customHeight="1" x14ac:dyDescent="0.15">
      <c r="B9" s="78"/>
      <c r="C9" s="125">
        <v>0.625</v>
      </c>
      <c r="D9" s="125"/>
      <c r="E9" s="125"/>
      <c r="F9" s="125"/>
      <c r="G9" s="125"/>
      <c r="H9" s="125">
        <v>0.625</v>
      </c>
      <c r="I9" s="70"/>
    </row>
    <row r="10" spans="2:9" ht="25" customHeight="1" x14ac:dyDescent="0.2">
      <c r="B10" s="77"/>
      <c r="C10" s="37">
        <f t="array" ref="C10:I10">DaysAndWeeks+DATE(CalendarYear,10,1)-WEEKDAY(DATE(CalendarYear,10,1),(WeekStart="M")+1)+15</f>
        <v>45942</v>
      </c>
      <c r="D10" s="34">
        <v>45943</v>
      </c>
      <c r="E10" s="34">
        <v>45944</v>
      </c>
      <c r="F10" s="34">
        <v>45945</v>
      </c>
      <c r="G10" s="34">
        <v>45946</v>
      </c>
      <c r="H10" s="34">
        <v>45947</v>
      </c>
      <c r="I10" s="69">
        <v>45948</v>
      </c>
    </row>
    <row r="11" spans="2:9" s="67" customFormat="1" ht="75" customHeight="1" x14ac:dyDescent="0.15">
      <c r="B11" s="78"/>
      <c r="C11" s="125">
        <v>0.625</v>
      </c>
      <c r="D11" s="137"/>
      <c r="E11" s="125"/>
      <c r="F11" s="125"/>
      <c r="G11" s="134"/>
      <c r="H11" s="125">
        <v>0.625</v>
      </c>
      <c r="I11" s="70"/>
    </row>
    <row r="12" spans="2:9" ht="25" customHeight="1" x14ac:dyDescent="0.2">
      <c r="B12" s="77"/>
      <c r="C12" s="37">
        <f t="array" ref="C12:I12">DaysAndWeeks+DATE(CalendarYear,10,1)-WEEKDAY(DATE(CalendarYear,10,1),(WeekStart="M")+1)+22</f>
        <v>45949</v>
      </c>
      <c r="D12" s="34">
        <v>45950</v>
      </c>
      <c r="E12" s="34">
        <v>45951</v>
      </c>
      <c r="F12" s="34">
        <v>45952</v>
      </c>
      <c r="G12" s="34">
        <v>45953</v>
      </c>
      <c r="H12" s="34">
        <v>45954</v>
      </c>
      <c r="I12" s="69">
        <v>45955</v>
      </c>
    </row>
    <row r="13" spans="2:9" s="67" customFormat="1" ht="75" customHeight="1" x14ac:dyDescent="0.15">
      <c r="B13" s="78"/>
      <c r="C13" s="125">
        <v>0.625</v>
      </c>
      <c r="D13" s="125"/>
      <c r="E13" s="125"/>
      <c r="F13" s="125"/>
      <c r="G13" s="125"/>
      <c r="H13" s="125">
        <v>0.625</v>
      </c>
      <c r="I13" s="70"/>
    </row>
    <row r="14" spans="2:9" ht="25" customHeight="1" x14ac:dyDescent="0.2">
      <c r="B14" s="77"/>
      <c r="C14" s="37">
        <f t="array" ref="C14:I14">DaysAndWeeks+DATE(CalendarYear,10,1)-WEEKDAY(DATE(CalendarYear,10,1),(WeekStart="M")+1)+29</f>
        <v>45956</v>
      </c>
      <c r="D14" s="34">
        <v>45957</v>
      </c>
      <c r="E14" s="34">
        <v>45958</v>
      </c>
      <c r="F14" s="36">
        <v>45959</v>
      </c>
      <c r="G14" s="36">
        <v>45960</v>
      </c>
      <c r="H14" s="36">
        <v>45961</v>
      </c>
      <c r="I14" s="71">
        <v>45962</v>
      </c>
    </row>
    <row r="15" spans="2:9" s="110" customFormat="1" ht="75" customHeight="1" x14ac:dyDescent="0.15">
      <c r="B15" s="111"/>
      <c r="C15" s="125">
        <v>0.625</v>
      </c>
      <c r="D15" s="137"/>
      <c r="E15" s="125"/>
      <c r="F15" s="163"/>
      <c r="G15" s="135"/>
      <c r="H15" s="164"/>
      <c r="I15" s="165"/>
    </row>
    <row r="16" spans="2:9" ht="25" customHeight="1" x14ac:dyDescent="0.2">
      <c r="B16" s="77"/>
      <c r="C16" s="43">
        <f t="array" ref="C16:I16">DaysAndWeeks+DATE(CalendarYear,10,1)-WEEKDAY(DATE(CalendarYear,10,1),(WeekStart="M")+1)+36</f>
        <v>45963</v>
      </c>
      <c r="D16" s="36">
        <v>45964</v>
      </c>
      <c r="E16" s="36">
        <v>45965</v>
      </c>
      <c r="F16" s="36">
        <v>45966</v>
      </c>
      <c r="G16" s="36">
        <v>45967</v>
      </c>
      <c r="H16" s="36">
        <v>45968</v>
      </c>
      <c r="I16" s="36">
        <v>45969</v>
      </c>
    </row>
    <row r="17" spans="2:9" s="67" customFormat="1" ht="75" customHeight="1" x14ac:dyDescent="0.15">
      <c r="B17" s="78"/>
      <c r="C17" s="162"/>
      <c r="D17" s="66"/>
      <c r="E17" s="66"/>
      <c r="F17" s="66"/>
      <c r="G17" s="66"/>
      <c r="H17" s="66"/>
      <c r="I17" s="66"/>
    </row>
    <row r="18" spans="2:9" s="1" customFormat="1" ht="125" customHeight="1" thickBot="1" x14ac:dyDescent="0.2">
      <c r="B18" s="76"/>
      <c r="C18" s="179" t="s">
        <v>6</v>
      </c>
      <c r="D18" s="180"/>
      <c r="E18" s="180"/>
      <c r="F18" s="180"/>
      <c r="G18" s="180"/>
      <c r="H18" s="180"/>
      <c r="I18" s="181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4 D15 F15:I15 C16: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6" t="s">
        <v>41</v>
      </c>
      <c r="D2" s="177"/>
      <c r="E2" s="177"/>
      <c r="F2" s="177"/>
      <c r="G2" s="177"/>
      <c r="H2" s="177"/>
      <c r="I2" s="178"/>
    </row>
    <row r="3" spans="2:9" ht="20" customHeight="1" x14ac:dyDescent="0.3">
      <c r="B3" s="76"/>
      <c r="C3" s="59"/>
      <c r="D3" s="60"/>
      <c r="E3" s="60"/>
      <c r="F3" s="61"/>
      <c r="G3" s="18" t="s">
        <v>34</v>
      </c>
      <c r="H3" s="18" t="s">
        <v>35</v>
      </c>
      <c r="I3" s="80"/>
    </row>
    <row r="4" spans="2:9" ht="75" customHeight="1" x14ac:dyDescent="0.65">
      <c r="B4" s="76"/>
      <c r="C4" s="142">
        <f>CalendarYear</f>
        <v>2025</v>
      </c>
      <c r="D4" s="189" t="s">
        <v>36</v>
      </c>
      <c r="E4" s="189"/>
      <c r="F4" s="189"/>
      <c r="G4" s="189"/>
      <c r="H4" s="189"/>
      <c r="I4" s="141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DaysAndWeeks+DATE(CalendarYear,11,1)-WEEKDAY(DATE(CalendarYear,11,1),(WeekStart="M")+1)+1</f>
        <v>45956</v>
      </c>
      <c r="D6" s="36">
        <v>45957</v>
      </c>
      <c r="E6" s="36">
        <v>45958</v>
      </c>
      <c r="F6" s="34">
        <v>45959</v>
      </c>
      <c r="G6" s="34">
        <v>45960</v>
      </c>
      <c r="H6" s="34">
        <v>45961</v>
      </c>
      <c r="I6" s="69">
        <v>45962</v>
      </c>
    </row>
    <row r="7" spans="2:9" s="67" customFormat="1" ht="75" customHeight="1" x14ac:dyDescent="0.15">
      <c r="B7" s="78"/>
      <c r="C7" s="68"/>
      <c r="D7" s="66"/>
      <c r="E7" s="147"/>
      <c r="F7" s="125"/>
      <c r="G7" s="134"/>
      <c r="H7" s="125">
        <v>0.625</v>
      </c>
      <c r="I7" s="70"/>
    </row>
    <row r="8" spans="2:9" s="33" customFormat="1" ht="25" customHeight="1" x14ac:dyDescent="0.2">
      <c r="B8" s="77"/>
      <c r="C8" s="37">
        <f t="array" ref="C8:I8">DaysAndWeeks+DATE(CalendarYear,11,1)-WEEKDAY(DATE(CalendarYear,11,1),(WeekStart="M")+1)+8</f>
        <v>45963</v>
      </c>
      <c r="D8" s="34">
        <v>45964</v>
      </c>
      <c r="E8" s="113">
        <v>45965</v>
      </c>
      <c r="F8" s="34">
        <v>45966</v>
      </c>
      <c r="G8" s="34">
        <v>45967</v>
      </c>
      <c r="H8" s="34">
        <v>45968</v>
      </c>
      <c r="I8" s="69">
        <v>45969</v>
      </c>
    </row>
    <row r="9" spans="2:9" s="67" customFormat="1" ht="75" customHeight="1" x14ac:dyDescent="0.15">
      <c r="B9" s="78"/>
      <c r="C9" s="125">
        <v>0.625</v>
      </c>
      <c r="D9" s="125"/>
      <c r="E9" s="125"/>
      <c r="F9" s="125"/>
      <c r="G9" s="125"/>
      <c r="H9" s="125">
        <v>0.625</v>
      </c>
      <c r="I9" s="70"/>
    </row>
    <row r="10" spans="2:9" s="33" customFormat="1" ht="25" customHeight="1" x14ac:dyDescent="0.2">
      <c r="B10" s="77"/>
      <c r="C10" s="37">
        <f t="array" ref="C10:I10">DaysAndWeeks+DATE(CalendarYear,11,1)-WEEKDAY(DATE(CalendarYear,11,1),(WeekStart="M")+1)+15</f>
        <v>45970</v>
      </c>
      <c r="D10" s="34">
        <v>45971</v>
      </c>
      <c r="E10" s="113">
        <v>45972</v>
      </c>
      <c r="F10" s="34">
        <v>45973</v>
      </c>
      <c r="G10" s="34">
        <v>45974</v>
      </c>
      <c r="H10" s="34">
        <v>45975</v>
      </c>
      <c r="I10" s="69">
        <v>45976</v>
      </c>
    </row>
    <row r="11" spans="2:9" s="67" customFormat="1" ht="75" customHeight="1" x14ac:dyDescent="0.15">
      <c r="B11" s="78"/>
      <c r="C11" s="125">
        <v>0.625</v>
      </c>
      <c r="D11" s="137"/>
      <c r="E11" s="125"/>
      <c r="F11" s="137"/>
      <c r="G11" s="134"/>
      <c r="H11" s="137" t="s">
        <v>40</v>
      </c>
      <c r="I11" s="70"/>
    </row>
    <row r="12" spans="2:9" s="33" customFormat="1" ht="25" customHeight="1" x14ac:dyDescent="0.2">
      <c r="B12" s="77"/>
      <c r="C12" s="37">
        <f t="array" ref="C12:I12">DaysAndWeeks+DATE(CalendarYear,11,1)-WEEKDAY(DATE(CalendarYear,11,1),(WeekStart="M")+1)+22</f>
        <v>45977</v>
      </c>
      <c r="D12" s="34">
        <v>45978</v>
      </c>
      <c r="E12" s="113">
        <v>45979</v>
      </c>
      <c r="F12" s="34">
        <v>45980</v>
      </c>
      <c r="G12" s="34">
        <v>45981</v>
      </c>
      <c r="H12" s="34">
        <v>45982</v>
      </c>
      <c r="I12" s="69">
        <v>45983</v>
      </c>
    </row>
    <row r="13" spans="2:9" s="67" customFormat="1" ht="75" customHeight="1" x14ac:dyDescent="0.15">
      <c r="B13" s="78"/>
      <c r="C13" s="125">
        <v>0.625</v>
      </c>
      <c r="D13" s="125"/>
      <c r="E13" s="125"/>
      <c r="F13" s="125"/>
      <c r="G13" s="125"/>
      <c r="H13" s="125">
        <v>0.625</v>
      </c>
      <c r="I13" s="70"/>
    </row>
    <row r="14" spans="2:9" s="33" customFormat="1" ht="25" customHeight="1" x14ac:dyDescent="0.2">
      <c r="B14" s="77"/>
      <c r="C14" s="37">
        <f t="array" ref="C14:I14">DaysAndWeeks+DATE(CalendarYear,11,1)-WEEKDAY(DATE(CalendarYear,11,1),(WeekStart="M")+1)+29</f>
        <v>45984</v>
      </c>
      <c r="D14" s="34">
        <v>45985</v>
      </c>
      <c r="E14" s="113">
        <v>45986</v>
      </c>
      <c r="F14" s="34">
        <v>45987</v>
      </c>
      <c r="G14" s="144">
        <v>45988</v>
      </c>
      <c r="H14" s="36">
        <v>45989</v>
      </c>
      <c r="I14" s="71">
        <v>45990</v>
      </c>
    </row>
    <row r="15" spans="2:9" s="67" customFormat="1" ht="75" customHeight="1" x14ac:dyDescent="0.15">
      <c r="B15" s="78"/>
      <c r="C15" s="125">
        <v>0.625</v>
      </c>
      <c r="D15" s="137"/>
      <c r="E15" s="125"/>
      <c r="F15" s="172"/>
      <c r="G15" s="159"/>
      <c r="H15" s="66"/>
      <c r="I15" s="72"/>
    </row>
    <row r="16" spans="2:9" s="33" customFormat="1" ht="25" customHeight="1" x14ac:dyDescent="0.2">
      <c r="B16" s="77"/>
      <c r="C16" s="65">
        <f t="array" ref="C16:I16">DaysAndWeeks+DATE(CalendarYear,11,1)-WEEKDAY(DATE(CalendarYear,11,1),(WeekStart="M")+1)+36</f>
        <v>45991</v>
      </c>
      <c r="D16" s="36">
        <v>45992</v>
      </c>
      <c r="E16" s="36">
        <v>45993</v>
      </c>
      <c r="F16" s="36">
        <v>45994</v>
      </c>
      <c r="G16" s="36">
        <v>45995</v>
      </c>
      <c r="H16" s="36">
        <v>45996</v>
      </c>
      <c r="I16" s="71">
        <v>45997</v>
      </c>
    </row>
    <row r="17" spans="2:9" s="67" customFormat="1" ht="75" customHeight="1" x14ac:dyDescent="0.15">
      <c r="B17" s="78"/>
      <c r="C17" s="105"/>
      <c r="D17" s="66"/>
      <c r="E17" s="66"/>
      <c r="F17" s="66"/>
      <c r="G17" s="66"/>
      <c r="H17" s="66"/>
      <c r="I17" s="72"/>
    </row>
    <row r="18" spans="2:9" ht="125" customHeight="1" thickBot="1" x14ac:dyDescent="0.2">
      <c r="B18" s="76"/>
      <c r="C18" s="179" t="s">
        <v>6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4 D15 F15:I15 C16: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M5" sqref="M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6" t="s">
        <v>41</v>
      </c>
      <c r="D2" s="177"/>
      <c r="E2" s="177"/>
      <c r="F2" s="177"/>
      <c r="G2" s="177"/>
      <c r="H2" s="177"/>
      <c r="I2" s="178"/>
    </row>
    <row r="3" spans="2:9" ht="20" customHeight="1" x14ac:dyDescent="0.3">
      <c r="B3" s="76"/>
      <c r="C3" s="59"/>
      <c r="D3" s="60"/>
      <c r="E3" s="60"/>
      <c r="F3" s="61"/>
      <c r="G3" s="18" t="s">
        <v>37</v>
      </c>
      <c r="H3" s="18" t="s">
        <v>38</v>
      </c>
      <c r="I3" s="80"/>
    </row>
    <row r="4" spans="2:9" ht="75" customHeight="1" x14ac:dyDescent="0.65">
      <c r="B4" s="76"/>
      <c r="C4" s="142">
        <f>CalendarYear</f>
        <v>2025</v>
      </c>
      <c r="D4" s="189" t="s">
        <v>39</v>
      </c>
      <c r="E4" s="189"/>
      <c r="F4" s="189"/>
      <c r="G4" s="189"/>
      <c r="H4" s="189"/>
      <c r="I4" s="141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DaysAndWeeks+DATE(CalendarYear,12,1)-WEEKDAY(DATE(CalendarYear,12,1),(WeekStart="M")+1)+1</f>
        <v>45991</v>
      </c>
      <c r="D6" s="36">
        <v>45992</v>
      </c>
      <c r="E6" s="36">
        <v>45993</v>
      </c>
      <c r="F6" s="36">
        <v>45994</v>
      </c>
      <c r="G6" s="36">
        <v>45995</v>
      </c>
      <c r="H6" s="34">
        <v>45996</v>
      </c>
      <c r="I6" s="69">
        <v>45997</v>
      </c>
    </row>
    <row r="7" spans="2:9" s="67" customFormat="1" ht="75" customHeight="1" x14ac:dyDescent="0.15">
      <c r="B7" s="78"/>
      <c r="C7" s="68"/>
      <c r="D7" s="66"/>
      <c r="E7" s="66"/>
      <c r="F7" s="66"/>
      <c r="G7" s="147"/>
      <c r="H7" s="125">
        <v>0.625</v>
      </c>
      <c r="I7" s="70"/>
    </row>
    <row r="8" spans="2:9" s="33" customFormat="1" ht="25" customHeight="1" x14ac:dyDescent="0.2">
      <c r="B8" s="77"/>
      <c r="C8" s="37">
        <f t="array" ref="C8:I8">DaysAndWeeks+DATE(CalendarYear,12,1)-WEEKDAY(DATE(CalendarYear,12,1),(WeekStart="M")+1)+8</f>
        <v>45998</v>
      </c>
      <c r="D8" s="34">
        <v>45999</v>
      </c>
      <c r="E8" s="37">
        <v>46000</v>
      </c>
      <c r="F8" s="34">
        <v>46001</v>
      </c>
      <c r="G8" s="34">
        <v>46002</v>
      </c>
      <c r="H8" s="34">
        <v>46003</v>
      </c>
      <c r="I8" s="69">
        <v>46004</v>
      </c>
    </row>
    <row r="9" spans="2:9" s="67" customFormat="1" ht="75" customHeight="1" x14ac:dyDescent="0.15">
      <c r="B9" s="78"/>
      <c r="C9" s="125">
        <v>0.625</v>
      </c>
      <c r="D9" s="125"/>
      <c r="E9" s="125"/>
      <c r="F9" s="125"/>
      <c r="G9" s="125"/>
      <c r="H9" s="125">
        <v>0.625</v>
      </c>
      <c r="I9" s="70"/>
    </row>
    <row r="10" spans="2:9" s="33" customFormat="1" ht="25" customHeight="1" x14ac:dyDescent="0.2">
      <c r="B10" s="77"/>
      <c r="C10" s="37">
        <f t="array" ref="C10:I10">DaysAndWeeks+DATE(CalendarYear,12,1)-WEEKDAY(DATE(CalendarYear,12,1),(WeekStart="M")+1)+15</f>
        <v>46005</v>
      </c>
      <c r="D10" s="34">
        <v>46006</v>
      </c>
      <c r="E10" s="34">
        <v>46007</v>
      </c>
      <c r="F10" s="34">
        <v>46008</v>
      </c>
      <c r="G10" s="34">
        <v>46009</v>
      </c>
      <c r="H10" s="34">
        <v>46010</v>
      </c>
      <c r="I10" s="69">
        <v>46011</v>
      </c>
    </row>
    <row r="11" spans="2:9" s="67" customFormat="1" ht="75" customHeight="1" x14ac:dyDescent="0.15">
      <c r="B11" s="78"/>
      <c r="C11" s="125">
        <v>0.625</v>
      </c>
      <c r="D11" s="137"/>
      <c r="E11" s="125"/>
      <c r="F11" s="125"/>
      <c r="G11" s="134"/>
      <c r="H11" s="125">
        <v>0.625</v>
      </c>
      <c r="I11" s="70"/>
    </row>
    <row r="12" spans="2:9" s="33" customFormat="1" ht="25" customHeight="1" x14ac:dyDescent="0.2">
      <c r="B12" s="77"/>
      <c r="C12" s="37">
        <f t="array" ref="C12:I12">DaysAndWeeks+DATE(CalendarYear,12,1)-WEEKDAY(DATE(CalendarYear,12,1),(WeekStart="M")+1)+22</f>
        <v>46012</v>
      </c>
      <c r="D12" s="34">
        <v>46013</v>
      </c>
      <c r="E12" s="34">
        <v>46014</v>
      </c>
      <c r="F12" s="34">
        <v>46015</v>
      </c>
      <c r="G12" s="34">
        <v>46016</v>
      </c>
      <c r="H12" s="34">
        <v>46017</v>
      </c>
      <c r="I12" s="69">
        <v>46018</v>
      </c>
    </row>
    <row r="13" spans="2:9" s="67" customFormat="1" ht="75" customHeight="1" x14ac:dyDescent="0.15">
      <c r="B13" s="78"/>
      <c r="C13" s="125">
        <v>0.625</v>
      </c>
      <c r="D13" s="125"/>
      <c r="E13" s="125"/>
      <c r="F13" s="125"/>
      <c r="G13" s="125"/>
      <c r="H13" s="125">
        <v>0.625</v>
      </c>
      <c r="I13" s="70"/>
    </row>
    <row r="14" spans="2:9" s="33" customFormat="1" ht="25" customHeight="1" x14ac:dyDescent="0.2">
      <c r="B14" s="77"/>
      <c r="C14" s="37">
        <f t="array" ref="C14:I14">DaysAndWeeks+DATE(CalendarYear,12,1)-WEEKDAY(DATE(CalendarYear,12,1),(WeekStart="M")+1)+29</f>
        <v>46019</v>
      </c>
      <c r="D14" s="34">
        <v>46020</v>
      </c>
      <c r="E14" s="34">
        <v>46021</v>
      </c>
      <c r="F14" s="34">
        <v>46022</v>
      </c>
      <c r="G14" s="34">
        <v>46023</v>
      </c>
      <c r="H14" s="34">
        <v>46024</v>
      </c>
      <c r="I14" s="69">
        <v>46025</v>
      </c>
    </row>
    <row r="15" spans="2:9" s="67" customFormat="1" ht="75" customHeight="1" x14ac:dyDescent="0.15">
      <c r="B15" s="78"/>
      <c r="C15" s="125">
        <v>0.625</v>
      </c>
      <c r="D15" s="137"/>
      <c r="E15" s="125"/>
      <c r="F15" s="125"/>
      <c r="G15" s="134"/>
      <c r="H15" s="125">
        <v>0.625</v>
      </c>
      <c r="I15" s="70"/>
    </row>
    <row r="16" spans="2:9" s="33" customFormat="1" ht="25" customHeight="1" x14ac:dyDescent="0.2">
      <c r="B16" s="77"/>
      <c r="C16" s="117">
        <f t="array" ref="C16:I16">DaysAndWeeks+DATE(CalendarYear,12,1)-WEEKDAY(DATE(CalendarYear,12,1),(WeekStart="M")+1)+36</f>
        <v>46026</v>
      </c>
      <c r="D16" s="36">
        <v>46027</v>
      </c>
      <c r="E16" s="65">
        <v>46028</v>
      </c>
      <c r="F16" s="36">
        <v>46029</v>
      </c>
      <c r="G16" s="36">
        <v>46030</v>
      </c>
      <c r="H16" s="65">
        <v>46031</v>
      </c>
      <c r="I16" s="71">
        <v>46032</v>
      </c>
    </row>
    <row r="17" spans="2:9" s="67" customFormat="1" ht="75" customHeight="1" x14ac:dyDescent="0.15">
      <c r="B17" s="78"/>
      <c r="C17" s="125"/>
      <c r="D17" s="66"/>
      <c r="E17" s="105"/>
      <c r="F17" s="66"/>
      <c r="G17" s="66"/>
      <c r="H17" s="105"/>
      <c r="I17" s="72"/>
    </row>
    <row r="18" spans="2:9" ht="125" customHeight="1" thickBot="1" x14ac:dyDescent="0.2">
      <c r="B18" s="76"/>
      <c r="C18" s="179" t="s">
        <v>6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4 D15 F15:I15 C16:I16 D17: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10CFAD-D087-4ED0-9635-4C1372061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C9E89F-E0F7-4EA5-B004-DCB6817900CE}">
  <ds:schemaRefs>
    <ds:schemaRef ds:uri="http://www.w3.org/XML/1998/namespace"/>
    <ds:schemaRef ds:uri="http://schemas.openxmlformats.org/package/2006/metadata/core-properties"/>
    <ds:schemaRef ds:uri="2f96a5e1-f937-4986-abb4-c031ec480b2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6088389d-f9a4-418b-a8d8-f0ed3f71e6c8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C2CF26-D36B-43E4-9660-EEF41C77CB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Anthony Colón</cp:lastModifiedBy>
  <cp:revision/>
  <dcterms:created xsi:type="dcterms:W3CDTF">2016-11-11T22:25:27Z</dcterms:created>
  <dcterms:modified xsi:type="dcterms:W3CDTF">2025-02-26T21:06:57Z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