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13_ncr:1_{CF8DEDFA-DD5F-ED40-AD3A-DC4E9279BD59}" xr6:coauthVersionLast="47" xr6:coauthVersionMax="47" xr10:uidLastSave="{00000000-0000-0000-0000-000000000000}"/>
  <bookViews>
    <workbookView xWindow="340" yWindow="760" windowWidth="30240" windowHeight="192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<sst xmlns="http://schemas.openxmlformats.org/spreadsheetml/2006/main" count="151" uniqueCount="41">
  <si>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</si>
  <si>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</si>
  <si>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</si>
  <si>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</si>
  <si>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</si>
  <si>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3:00pm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</si>
  <si>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</si>
  <si>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</si>
  <si>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</si>
  <si>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</si>
  <si>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</si>
  <si>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</si>
  <si>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</si>
  <si>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</si>
  <si>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</si>
  <si>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</si>
  <si>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</si>
  <si>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</si>
  <si>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</si>
  <si>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</si>
  <si>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</si>
  <si>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</si>
  <si>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</si>
  <si>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</si>
  <si>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</si>
  <si>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</si>
  <si>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</si>
  <si>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</si>
  <si>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</si>
  <si>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</si>
  <si>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</si>
  <si>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</si>
  <si>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</si>
  <si>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</si>
  <si>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</si>
  <si>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</si>
  <si>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</si>
  <si>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</si>
  <si>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</si>
  <si>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</si>
  <si>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50/50 3-4-4-3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</si>
</sst>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1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9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8" xfId="11" applyFont="1" applyFill="1" applyBorder="1">
      <alignment horizontal="left" vertical="top" wrapText="1" indent="1"/>
    </xf>
    <xf numFmtId="164" fontId="12" fillId="3" borderId="11" xfId="4" applyFont="1" applyFill="1" applyBorder="1">
      <alignment horizontal="left" indent="1"/>
    </xf>
    <xf numFmtId="164" fontId="12" fillId="3" borderId="17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8" xfId="0" applyFont="1" applyBorder="1">
      <alignment horizontal="left" vertical="top" wrapText="1" indent="1"/>
    </xf>
    <xf numFmtId="0" fontId="12" fillId="0" borderId="8" xfId="11" applyFont="1" applyBorder="1">
      <alignment horizontal="left" vertical="top" wrapText="1" indent="1"/>
    </xf>
    <xf numFmtId="0" fontId="12" fillId="0" borderId="15" xfId="11" applyFont="1" applyBorder="1">
      <alignment horizontal="left" vertical="top" wrapText="1" indent="1"/>
    </xf>
    <xf numFmtId="0" fontId="12" fillId="0" borderId="11" xfId="0" applyFont="1" applyBorder="1">
      <alignment horizontal="left" vertical="top" wrapText="1" indent="1"/>
    </xf>
    <xf numFmtId="0" fontId="12" fillId="5" borderId="8" xfId="11" applyFont="1" applyFill="1" applyBorder="1">
      <alignment horizontal="left" vertical="top" wrapText="1" indent="1"/>
    </xf>
    <xf numFmtId="18" fontId="11" fillId="5" borderId="8" xfId="11" applyNumberFormat="1" applyFont="1" applyFill="1" applyBorder="1" applyAlignment="1">
      <alignment horizontal="left" vertical="top" wrapText="1"/>
    </xf>
    <xf numFmtId="0" fontId="14" fillId="4" borderId="4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5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4" xfId="10" applyFont="1" applyFill="1" applyBorder="1" applyAlignment="1">
      <alignment horizontal="right" vertical="center"/>
    </xf>
    <xf numFmtId="0" fontId="19" fillId="2" borderId="6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5" xfId="0" applyFont="1" applyFill="1" applyBorder="1">
      <alignment horizontal="left" vertical="top" wrapText="1" indent="1"/>
    </xf>
    <xf numFmtId="164" fontId="23" fillId="5" borderId="12" xfId="4" applyFont="1" applyFill="1" applyBorder="1">
      <alignment horizontal="left" indent="1"/>
    </xf>
    <xf numFmtId="164" fontId="23" fillId="5" borderId="7" xfId="4" applyFont="1" applyFill="1" applyBorder="1">
      <alignment horizontal="left" indent="1"/>
    </xf>
    <xf numFmtId="164" fontId="23" fillId="0" borderId="7" xfId="4" applyFont="1" applyFill="1" applyBorder="1">
      <alignment horizontal="left" indent="1"/>
    </xf>
    <xf numFmtId="164" fontId="23" fillId="0" borderId="13" xfId="4" applyFont="1" applyFill="1" applyBorder="1">
      <alignment horizontal="left" indent="1"/>
    </xf>
    <xf numFmtId="164" fontId="23" fillId="5" borderId="11" xfId="4" applyFont="1" applyFill="1" applyBorder="1">
      <alignment horizontal="left" indent="1"/>
    </xf>
    <xf numFmtId="164" fontId="23" fillId="0" borderId="11" xfId="4" applyFont="1" applyFill="1" applyBorder="1">
      <alignment horizontal="left" indent="1"/>
    </xf>
    <xf numFmtId="164" fontId="23" fillId="3" borderId="7" xfId="4" applyFont="1" applyFill="1" applyBorder="1">
      <alignment horizontal="left" indent="1"/>
    </xf>
    <xf numFmtId="164" fontId="23" fillId="3" borderId="13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0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7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7" xfId="4" applyFont="1" applyFill="1" applyBorder="1">
      <alignment horizontal="left" indent="1"/>
    </xf>
    <xf numFmtId="164" fontId="27" fillId="0" borderId="24" xfId="4" applyFont="1" applyBorder="1">
      <alignment horizontal="left" indent="1"/>
    </xf>
    <xf numFmtId="164" fontId="27" fillId="0" borderId="11" xfId="4" applyFont="1" applyBorder="1">
      <alignment horizontal="left" indent="1"/>
    </xf>
    <xf numFmtId="164" fontId="27" fillId="7" borderId="7" xfId="4" applyFont="1" applyFill="1" applyBorder="1">
      <alignment horizontal="left" indent="1"/>
    </xf>
    <xf numFmtId="164" fontId="30" fillId="7" borderId="7" xfId="4" applyFont="1" applyFill="1" applyBorder="1">
      <alignment horizontal="left" indent="1"/>
    </xf>
    <xf numFmtId="164" fontId="29" fillId="3" borderId="9" xfId="4" applyFont="1" applyFill="1" applyBorder="1">
      <alignment horizontal="left" indent="1"/>
    </xf>
    <xf numFmtId="0" fontId="13" fillId="3" borderId="8" xfId="11" applyFont="1" applyFill="1" applyBorder="1">
      <alignment horizontal="left" vertical="top" wrapText="1" indent="1"/>
    </xf>
    <xf numFmtId="164" fontId="27" fillId="3" borderId="24" xfId="4" applyFont="1" applyFill="1" applyBorder="1">
      <alignment horizontal="left" indent="1"/>
    </xf>
    <xf numFmtId="0" fontId="13" fillId="3" borderId="23" xfId="11" applyFont="1" applyFill="1" applyBorder="1">
      <alignment horizontal="left" vertical="top" wrapText="1" indent="1"/>
    </xf>
    <xf numFmtId="164" fontId="27" fillId="0" borderId="25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8" xfId="11" applyFont="1" applyFill="1" applyBorder="1">
      <alignment horizontal="left" vertical="top" wrapText="1" indent="1"/>
    </xf>
    <xf numFmtId="0" fontId="9" fillId="3" borderId="23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3" xfId="11" applyFont="1" applyFill="1" applyBorder="1">
      <alignment horizontal="left" vertical="top" wrapText="1" indent="1"/>
    </xf>
    <xf numFmtId="164" fontId="29" fillId="3" borderId="24" xfId="4" applyFont="1" applyFill="1" applyBorder="1">
      <alignment horizontal="left" indent="1"/>
    </xf>
    <xf numFmtId="164" fontId="27" fillId="3" borderId="25" xfId="4" applyFont="1" applyFill="1" applyBorder="1">
      <alignment horizontal="left" indent="1"/>
    </xf>
    <xf numFmtId="164" fontId="27" fillId="3" borderId="11" xfId="4" applyFont="1" applyFill="1" applyBorder="1">
      <alignment horizontal="left" indent="1"/>
    </xf>
    <xf numFmtId="18" fontId="11" fillId="0" borderId="8" xfId="11" applyNumberFormat="1" applyFont="1" applyBorder="1" applyAlignment="1">
      <alignment horizontal="left" vertical="top" wrapText="1"/>
    </xf>
    <xf numFmtId="0" fontId="33" fillId="0" borderId="8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8" xfId="11" applyNumberFormat="1" applyFont="1" applyBorder="1" applyAlignment="1">
      <alignment horizontal="left" vertical="top" wrapText="1"/>
    </xf>
    <xf numFmtId="0" fontId="33" fillId="3" borderId="8" xfId="11" applyFont="1" applyFill="1" applyBorder="1" applyAlignment="1">
      <alignment horizontal="left" vertical="top" wrapText="1"/>
    </xf>
    <xf numFmtId="0" fontId="33" fillId="7" borderId="8" xfId="11" applyFont="1" applyFill="1" applyBorder="1" applyAlignment="1">
      <alignment horizontal="left" vertical="top" wrapText="1"/>
    </xf>
    <xf numFmtId="0" fontId="33" fillId="3" borderId="23" xfId="11" applyFont="1" applyFill="1" applyBorder="1" applyAlignment="1">
      <alignment horizontal="left" vertical="top" wrapText="1"/>
    </xf>
    <xf numFmtId="0" fontId="33" fillId="3" borderId="11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8" xfId="11" applyFont="1" applyBorder="1" applyAlignment="1">
      <alignment horizontal="left" vertical="top" wrapText="1"/>
    </xf>
    <xf numFmtId="164" fontId="23" fillId="0" borderId="7" xfId="4" applyFont="1" applyBorder="1">
      <alignment horizontal="left" indent="1"/>
    </xf>
    <xf numFmtId="164" fontId="27" fillId="3" borderId="8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0" borderId="8" xfId="11" applyFont="1" applyBorder="1">
      <alignment horizontal="left" vertical="top" wrapText="1" indent="1"/>
    </xf>
    <xf numFmtId="0" fontId="11" fillId="3" borderId="8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3" xfId="11" applyFont="1" applyFill="1" applyBorder="1" applyAlignment="1">
      <alignment horizontal="left" vertical="top" wrapText="1"/>
    </xf>
    <xf numFmtId="164" fontId="27" fillId="0" borderId="13" xfId="4" applyFont="1" applyBorder="1">
      <alignment horizontal="left" indent="1"/>
    </xf>
    <xf numFmtId="0" fontId="11" fillId="0" borderId="15" xfId="11" applyFont="1" applyBorder="1" applyAlignment="1">
      <alignment horizontal="left" vertical="top" wrapText="1"/>
    </xf>
    <xf numFmtId="164" fontId="27" fillId="3" borderId="13" xfId="4" applyFont="1" applyFill="1" applyBorder="1">
      <alignment horizontal="left" indent="1"/>
    </xf>
    <xf numFmtId="0" fontId="11" fillId="3" borderId="15" xfId="11" applyFont="1" applyFill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164" fontId="27" fillId="3" borderId="15" xfId="4" applyFont="1" applyFill="1" applyBorder="1">
      <alignment horizontal="left" indent="1"/>
    </xf>
    <xf numFmtId="0" fontId="13" fillId="0" borderId="5" xfId="0" applyFont="1" applyBorder="1">
      <alignment horizontal="left" vertical="top" wrapText="1" indent="1"/>
    </xf>
    <xf numFmtId="0" fontId="9" fillId="0" borderId="5" xfId="0" applyFont="1" applyBorder="1">
      <alignment horizontal="left" vertical="top" wrapText="1" indent="1"/>
    </xf>
    <xf numFmtId="0" fontId="28" fillId="0" borderId="5" xfId="0" applyFont="1" applyBorder="1">
      <alignment horizontal="left" vertical="top" wrapText="1" indent="1"/>
    </xf>
    <xf numFmtId="0" fontId="11" fillId="0" borderId="5" xfId="0" applyFont="1" applyBorder="1" applyAlignment="1">
      <alignment horizontal="left" vertical="top" wrapText="1"/>
    </xf>
    <xf numFmtId="0" fontId="27" fillId="0" borderId="5" xfId="0" applyFont="1" applyBorder="1">
      <alignment horizontal="left" vertical="top" wrapText="1" indent="1"/>
    </xf>
    <xf numFmtId="0" fontId="36" fillId="2" borderId="5" xfId="5" applyFont="1" applyFill="1" applyBorder="1">
      <alignment horizontal="center" vertical="top"/>
    </xf>
    <xf numFmtId="0" fontId="9" fillId="0" borderId="27" xfId="0" applyFont="1" applyBorder="1">
      <alignment horizontal="left" vertical="top" wrapText="1" indent="1"/>
    </xf>
    <xf numFmtId="0" fontId="10" fillId="0" borderId="5" xfId="0" applyFont="1" applyBorder="1">
      <alignment horizontal="left" vertical="top" wrapText="1" indent="1"/>
    </xf>
    <xf numFmtId="164" fontId="27" fillId="7" borderId="24" xfId="4" applyFont="1" applyFill="1" applyBorder="1">
      <alignment horizontal="left" indent="1"/>
    </xf>
    <xf numFmtId="0" fontId="33" fillId="0" borderId="5" xfId="0" applyFont="1" applyBorder="1" applyAlignment="1">
      <alignment horizontal="left" vertical="top" wrapText="1"/>
    </xf>
    <xf numFmtId="0" fontId="33" fillId="0" borderId="15" xfId="11" applyFont="1" applyBorder="1" applyAlignment="1">
      <alignment horizontal="left" vertical="top" wrapText="1"/>
    </xf>
    <xf numFmtId="164" fontId="30" fillId="7" borderId="13" xfId="4" applyFont="1" applyFill="1" applyBorder="1">
      <alignment horizontal="left" indent="1"/>
    </xf>
    <xf numFmtId="0" fontId="33" fillId="7" borderId="15" xfId="11" applyFont="1" applyFill="1" applyBorder="1" applyAlignment="1">
      <alignment horizontal="left" vertical="top" wrapText="1"/>
    </xf>
    <xf numFmtId="164" fontId="27" fillId="7" borderId="13" xfId="4" applyFont="1" applyFill="1" applyBorder="1">
      <alignment horizontal="left" indent="1"/>
    </xf>
    <xf numFmtId="0" fontId="9" fillId="2" borderId="5" xfId="0" applyFont="1" applyFill="1" applyBorder="1">
      <alignment horizontal="left" vertical="top" wrapText="1" indent="1"/>
    </xf>
    <xf numFmtId="164" fontId="27" fillId="0" borderId="17" xfId="4" applyFont="1" applyBorder="1">
      <alignment horizontal="left" indent="1"/>
    </xf>
    <xf numFmtId="0" fontId="33" fillId="3" borderId="15" xfId="11" applyFont="1" applyFill="1" applyBorder="1" applyAlignment="1">
      <alignment horizontal="left" vertical="top" wrapText="1"/>
    </xf>
    <xf numFmtId="0" fontId="13" fillId="3" borderId="14" xfId="11" applyFont="1" applyFill="1" applyBorder="1">
      <alignment horizontal="left" vertical="top" wrapText="1" indent="1"/>
    </xf>
    <xf numFmtId="0" fontId="13" fillId="3" borderId="15" xfId="11" applyFont="1" applyFill="1" applyBorder="1">
      <alignment horizontal="left" vertical="top" wrapText="1" indent="1"/>
    </xf>
    <xf numFmtId="0" fontId="26" fillId="2" borderId="5" xfId="5" applyFont="1" applyFill="1" applyBorder="1">
      <alignment horizontal="center" vertical="top"/>
    </xf>
    <xf numFmtId="0" fontId="13" fillId="7" borderId="15" xfId="11" applyFont="1" applyFill="1" applyBorder="1">
      <alignment horizontal="left" vertical="top" wrapText="1" indent="1"/>
    </xf>
    <xf numFmtId="164" fontId="27" fillId="3" borderId="17" xfId="4" applyFont="1" applyFill="1" applyBorder="1">
      <alignment horizontal="left" indent="1"/>
    </xf>
    <xf numFmtId="0" fontId="32" fillId="2" borderId="5" xfId="5" applyFont="1" applyFill="1" applyBorder="1">
      <alignment horizontal="center" vertical="top"/>
    </xf>
    <xf numFmtId="0" fontId="9" fillId="3" borderId="15" xfId="11" applyFont="1" applyFill="1" applyBorder="1">
      <alignment horizontal="left" vertical="top" wrapText="1" indent="1"/>
    </xf>
    <xf numFmtId="0" fontId="34" fillId="3" borderId="8" xfId="11" applyFont="1" applyFill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4" xfId="4" applyFont="1" applyFill="1" applyBorder="1">
      <alignment horizontal="left" indent="1"/>
    </xf>
    <xf numFmtId="0" fontId="23" fillId="0" borderId="5" xfId="0" applyFont="1" applyBorder="1">
      <alignment horizontal="left" vertical="top" wrapText="1" indent="1"/>
    </xf>
    <xf numFmtId="164" fontId="23" fillId="0" borderId="13" xfId="4" applyFont="1" applyBorder="1">
      <alignment horizontal="left" indent="1"/>
    </xf>
    <xf numFmtId="0" fontId="38" fillId="2" borderId="5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5" xfId="0" applyFont="1" applyBorder="1">
      <alignment horizontal="left" vertical="top" wrapText="1" indent="1"/>
    </xf>
    <xf numFmtId="0" fontId="11" fillId="0" borderId="15" xfId="11" applyFont="1" applyBorder="1">
      <alignment horizontal="left" vertical="top" wrapText="1" indent="1"/>
    </xf>
    <xf numFmtId="0" fontId="28" fillId="0" borderId="27" xfId="0" applyFont="1" applyBorder="1">
      <alignment horizontal="left" vertical="top" wrapText="1" indent="1"/>
    </xf>
    <xf numFmtId="164" fontId="27" fillId="0" borderId="7" xfId="4" applyFont="1" applyFill="1" applyBorder="1">
      <alignment horizontal="left" indent="1"/>
    </xf>
    <xf numFmtId="164" fontId="27" fillId="0" borderId="13" xfId="4" applyFont="1" applyFill="1" applyBorder="1">
      <alignment horizontal="left" indent="1"/>
    </xf>
    <xf numFmtId="0" fontId="13" fillId="0" borderId="11" xfId="11" applyFont="1" applyBorder="1" applyAlignment="1">
      <alignment horizontal="left" vertical="top" wrapText="1"/>
    </xf>
    <xf numFmtId="164" fontId="27" fillId="0" borderId="9" xfId="4" applyFont="1" applyFill="1" applyBorder="1">
      <alignment horizontal="left" indent="1"/>
    </xf>
    <xf numFmtId="0" fontId="33" fillId="0" borderId="10" xfId="11" applyFont="1" applyBorder="1" applyAlignment="1">
      <alignment horizontal="left" vertical="top" wrapText="1"/>
    </xf>
    <xf numFmtId="164" fontId="27" fillId="0" borderId="24" xfId="4" applyFont="1" applyFill="1" applyBorder="1">
      <alignment horizontal="left" indent="1"/>
    </xf>
    <xf numFmtId="164" fontId="27" fillId="0" borderId="11" xfId="4" applyFont="1" applyFill="1" applyBorder="1">
      <alignment horizontal="left" indent="1"/>
    </xf>
    <xf numFmtId="164" fontId="27" fillId="0" borderId="17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64" fontId="12" fillId="0" borderId="11" xfId="4" applyFont="1" applyFill="1" applyBorder="1">
      <alignment horizontal="left" indent="1"/>
    </xf>
    <xf numFmtId="18" fontId="11" fillId="5" borderId="14" xfId="11" applyNumberFormat="1" applyFont="1" applyFill="1" applyBorder="1" applyAlignment="1">
      <alignment horizontal="center" vertical="top" wrapText="1"/>
    </xf>
    <xf numFmtId="18" fontId="11" fillId="5" borderId="8" xfId="11" applyNumberFormat="1" applyFont="1" applyFill="1" applyBorder="1" applyAlignment="1">
      <alignment horizontal="center" vertical="top" wrapText="1"/>
    </xf>
    <xf numFmtId="18" fontId="11" fillId="5" borderId="11" xfId="0" applyNumberFormat="1" applyFont="1" applyFill="1" applyBorder="1" applyAlignment="1">
      <alignment horizontal="center" vertical="top" wrapText="1"/>
    </xf>
    <xf numFmtId="165" fontId="11" fillId="5" borderId="8" xfId="11" applyNumberFormat="1" applyFont="1" applyFill="1" applyBorder="1" applyAlignment="1">
      <alignment horizontal="center" vertical="top" wrapText="1"/>
    </xf>
    <xf numFmtId="18" fontId="11" fillId="5" borderId="8" xfId="0" applyNumberFormat="1" applyFont="1" applyFill="1" applyBorder="1" applyAlignment="1">
      <alignment horizontal="center" vertical="top" wrapText="1"/>
    </xf>
    <xf numFmtId="164" fontId="23" fillId="0" borderId="12" xfId="4" applyFont="1" applyFill="1" applyBorder="1">
      <alignment horizontal="left" indent="1"/>
    </xf>
    <xf numFmtId="18" fontId="11" fillId="0" borderId="16" xfId="11" applyNumberFormat="1" applyFont="1" applyBorder="1" applyAlignment="1">
      <alignment horizontal="center" vertical="top" wrapText="1"/>
    </xf>
    <xf numFmtId="18" fontId="11" fillId="0" borderId="8" xfId="11" applyNumberFormat="1" applyFont="1" applyBorder="1" applyAlignment="1">
      <alignment horizontal="center" vertical="top" wrapText="1"/>
    </xf>
    <xf numFmtId="18" fontId="11" fillId="0" borderId="11" xfId="11" applyNumberFormat="1" applyFont="1" applyBorder="1" applyAlignment="1">
      <alignment horizontal="center" vertical="top" wrapText="1"/>
    </xf>
    <xf numFmtId="18" fontId="33" fillId="0" borderId="23" xfId="11" applyNumberFormat="1" applyFont="1" applyBorder="1" applyAlignment="1">
      <alignment horizontal="center" vertical="top" wrapText="1"/>
    </xf>
    <xf numFmtId="18" fontId="33" fillId="0" borderId="10" xfId="11" applyNumberFormat="1" applyFont="1" applyBorder="1" applyAlignment="1">
      <alignment horizontal="center" vertical="top" wrapText="1"/>
    </xf>
    <xf numFmtId="18" fontId="33" fillId="0" borderId="8" xfId="11" applyNumberFormat="1" applyFont="1" applyBorder="1" applyAlignment="1">
      <alignment horizontal="center" vertical="top" wrapText="1"/>
    </xf>
    <xf numFmtId="18" fontId="33" fillId="0" borderId="25" xfId="11" applyNumberFormat="1" applyFont="1" applyBorder="1" applyAlignment="1">
      <alignment horizontal="center" vertical="top" wrapText="1"/>
    </xf>
    <xf numFmtId="19" fontId="33" fillId="3" borderId="8" xfId="11" applyNumberFormat="1" applyFont="1" applyFill="1" applyBorder="1" applyAlignment="1">
      <alignment horizontal="center" vertical="top" wrapText="1"/>
    </xf>
    <xf numFmtId="19" fontId="33" fillId="0" borderId="23" xfId="11" applyNumberFormat="1" applyFont="1" applyBorder="1" applyAlignment="1">
      <alignment horizontal="center" vertical="top" wrapText="1"/>
    </xf>
    <xf numFmtId="18" fontId="11" fillId="5" borderId="29" xfId="11" applyNumberFormat="1" applyFont="1" applyFill="1" applyBorder="1" applyAlignment="1">
      <alignment horizontal="center" vertical="top" wrapText="1"/>
    </xf>
    <xf numFmtId="19" fontId="33" fillId="0" borderId="8" xfId="11" applyNumberFormat="1" applyFont="1" applyBorder="1" applyAlignment="1">
      <alignment horizontal="center" vertical="top" wrapText="1"/>
    </xf>
    <xf numFmtId="19" fontId="11" fillId="0" borderId="8" xfId="11" applyNumberFormat="1" applyFont="1" applyBorder="1" applyAlignment="1">
      <alignment horizontal="center" vertical="top" wrapText="1"/>
    </xf>
    <xf numFmtId="19" fontId="11" fillId="3" borderId="8" xfId="11" applyNumberFormat="1" applyFont="1" applyFill="1" applyBorder="1" applyAlignment="1">
      <alignment horizontal="center" vertical="top" wrapText="1"/>
    </xf>
    <xf numFmtId="0" fontId="33" fillId="0" borderId="8" xfId="11" applyFont="1" applyBorder="1" applyAlignment="1">
      <alignment horizontal="center" vertical="top" wrapText="1"/>
    </xf>
    <xf numFmtId="0" fontId="11" fillId="0" borderId="8" xfId="11" applyFont="1" applyBorder="1" applyAlignment="1">
      <alignment horizontal="center" vertical="top" wrapText="1"/>
    </xf>
    <xf numFmtId="19" fontId="11" fillId="0" borderId="23" xfId="11" applyNumberFormat="1" applyFont="1" applyBorder="1" applyAlignment="1">
      <alignment horizontal="center" vertical="top" wrapText="1"/>
    </xf>
    <xf numFmtId="18" fontId="33" fillId="3" borderId="8" xfId="11" applyNumberFormat="1" applyFont="1" applyFill="1" applyBorder="1" applyAlignment="1">
      <alignment horizontal="center" vertical="top" wrapText="1"/>
    </xf>
    <xf numFmtId="18" fontId="11" fillId="3" borderId="23" xfId="11" applyNumberFormat="1" applyFont="1" applyFill="1" applyBorder="1" applyAlignment="1">
      <alignment horizontal="center" vertical="top" wrapText="1"/>
    </xf>
    <xf numFmtId="0" fontId="40" fillId="8" borderId="6" xfId="10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/>
    <xf numFmtId="0" fontId="41" fillId="2" borderId="30" xfId="7" applyFont="1" applyFill="1" applyBorder="1">
      <alignment horizontal="left"/>
    </xf>
    <xf numFmtId="49" fontId="24" fillId="2" borderId="5" xfId="0" applyNumberFormat="1" applyFont="1" applyFill="1" applyBorder="1" applyAlignment="1"/>
    <xf numFmtId="164" fontId="27" fillId="5" borderId="7" xfId="4" applyFont="1" applyFill="1" applyBorder="1">
      <alignment horizontal="left" indent="1"/>
    </xf>
    <xf numFmtId="164" fontId="23" fillId="0" borderId="9" xfId="4" applyFont="1" applyFill="1" applyBorder="1">
      <alignment horizontal="left" indent="1"/>
    </xf>
    <xf numFmtId="165" fontId="11" fillId="0" borderId="10" xfId="0" applyNumberFormat="1" applyFont="1" applyBorder="1" applyAlignment="1">
      <alignment horizontal="center" vertical="top" wrapText="1"/>
    </xf>
    <xf numFmtId="0" fontId="12" fillId="0" borderId="8" xfId="11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5" borderId="8" xfId="11" applyFont="1" applyFill="1" applyBorder="1" applyAlignment="1">
      <alignment horizontal="center" vertical="top" wrapText="1"/>
    </xf>
    <xf numFmtId="0" fontId="12" fillId="3" borderId="23" xfId="11" applyFont="1" applyFill="1" applyBorder="1" applyAlignment="1">
      <alignment horizontal="center" vertical="top" wrapText="1"/>
    </xf>
    <xf numFmtId="0" fontId="13" fillId="0" borderId="11" xfId="11" applyFont="1" applyBorder="1" applyAlignment="1">
      <alignment horizontal="center" vertical="top" wrapText="1"/>
    </xf>
    <xf numFmtId="0" fontId="13" fillId="0" borderId="17" xfId="11" applyFont="1" applyBorder="1" applyAlignment="1">
      <alignment horizontal="center" vertical="top" wrapText="1"/>
    </xf>
    <xf numFmtId="0" fontId="33" fillId="0" borderId="10" xfId="11" applyFont="1" applyBorder="1" applyAlignment="1">
      <alignment horizontal="center" vertical="top" wrapText="1"/>
    </xf>
    <xf numFmtId="0" fontId="33" fillId="0" borderId="15" xfId="11" applyFont="1" applyBorder="1" applyAlignment="1">
      <alignment horizontal="center" vertical="top" wrapText="1"/>
    </xf>
    <xf numFmtId="164" fontId="33" fillId="3" borderId="0" xfId="4" applyFont="1" applyFill="1" applyBorder="1" applyAlignment="1">
      <alignment horizontal="center" vertical="top"/>
    </xf>
    <xf numFmtId="0" fontId="33" fillId="3" borderId="8" xfId="11" applyFont="1" applyFill="1" applyBorder="1" applyAlignment="1">
      <alignment horizontal="center" vertical="top" wrapText="1"/>
    </xf>
    <xf numFmtId="0" fontId="33" fillId="0" borderId="0" xfId="11" applyFont="1" applyBorder="1" applyAlignment="1">
      <alignment horizontal="center" vertical="top" wrapText="1"/>
    </xf>
    <xf numFmtId="0" fontId="11" fillId="0" borderId="15" xfId="11" applyFont="1" applyBorder="1" applyAlignment="1">
      <alignment horizontal="center" vertical="top" wrapText="1"/>
    </xf>
    <xf numFmtId="0" fontId="33" fillId="3" borderId="0" xfId="11" applyFont="1" applyFill="1" applyBorder="1" applyAlignment="1">
      <alignment horizontal="center" vertical="top" wrapText="1"/>
    </xf>
    <xf numFmtId="20" fontId="33" fillId="3" borderId="15" xfId="11" applyNumberFormat="1" applyFont="1" applyFill="1" applyBorder="1" applyAlignment="1">
      <alignment horizontal="center" vertical="top" wrapText="1"/>
    </xf>
    <xf numFmtId="0" fontId="11" fillId="3" borderId="8" xfId="1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15" fillId="6" borderId="18" xfId="11" applyFont="1" applyFill="1" applyBorder="1">
      <alignment horizontal="left" vertical="top" wrapText="1" inden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49" fontId="24" fillId="2" borderId="21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6" xfId="11" applyFont="1" applyFill="1" applyBorder="1">
      <alignment horizontal="left" vertical="top" wrapText="1" indent="1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1" xfId="0" applyNumberFormat="1" applyFont="1" applyFill="1" applyBorder="1" applyAlignment="1">
      <alignment horizontal="center"/>
    </xf>
    <xf numFmtId="49" fontId="24" fillId="2" borderId="21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34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1397000</xdr:colOff>
      <xdr:row>6</xdr:row>
      <xdr:rowOff>165652</xdr:rowOff>
    </xdr:from>
    <xdr:to>
      <xdr:col>9</xdr:col>
      <xdr:colOff>12700</xdr:colOff>
      <xdr:row>6</xdr:row>
      <xdr:rowOff>507999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711F66-6C0A-994F-91E9-36396E6A05D9}"/>
            </a:ext>
          </a:extLst>
        </xdr:cNvPr>
        <xdr:cNvSpPr txBox="1"/>
      </xdr:nvSpPr>
      <xdr:spPr>
        <a:xfrm>
          <a:off x="16789400" y="3277152"/>
          <a:ext cx="1092200" cy="3423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8</xdr:row>
      <xdr:rowOff>189948</xdr:rowOff>
    </xdr:from>
    <xdr:to>
      <xdr:col>9</xdr:col>
      <xdr:colOff>0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9118600" y="4571448"/>
          <a:ext cx="875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1447800</xdr:colOff>
      <xdr:row>10</xdr:row>
      <xdr:rowOff>177248</xdr:rowOff>
    </xdr:from>
    <xdr:to>
      <xdr:col>9</xdr:col>
      <xdr:colOff>38100</xdr:colOff>
      <xdr:row>10</xdr:row>
      <xdr:rowOff>494748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45828D5-D1A2-C042-980C-60EE1CDE59AE}"/>
            </a:ext>
          </a:extLst>
        </xdr:cNvPr>
        <xdr:cNvSpPr txBox="1"/>
      </xdr:nvSpPr>
      <xdr:spPr>
        <a:xfrm>
          <a:off x="16840200" y="5828748"/>
          <a:ext cx="106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177249</xdr:rowOff>
    </xdr:from>
    <xdr:to>
      <xdr:col>8</xdr:col>
      <xdr:colOff>1447800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9245600" y="5828749"/>
          <a:ext cx="7594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178354</xdr:rowOff>
    </xdr:from>
    <xdr:to>
      <xdr:col>5</xdr:col>
      <xdr:colOff>1295400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1790700" y="5829854"/>
          <a:ext cx="746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1231899</xdr:colOff>
      <xdr:row>12</xdr:row>
      <xdr:rowOff>164549</xdr:rowOff>
    </xdr:from>
    <xdr:to>
      <xdr:col>9</xdr:col>
      <xdr:colOff>12700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9194799" y="7086049"/>
          <a:ext cx="868680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1447800</xdr:colOff>
      <xdr:row>14</xdr:row>
      <xdr:rowOff>177249</xdr:rowOff>
    </xdr:from>
    <xdr:to>
      <xdr:col>9</xdr:col>
      <xdr:colOff>12700</xdr:colOff>
      <xdr:row>14</xdr:row>
      <xdr:rowOff>494748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B861A3-29ED-BC4D-AA54-347E473A7C8F}"/>
            </a:ext>
          </a:extLst>
        </xdr:cNvPr>
        <xdr:cNvSpPr txBox="1"/>
      </xdr:nvSpPr>
      <xdr:spPr>
        <a:xfrm>
          <a:off x="16840200" y="8368749"/>
          <a:ext cx="104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179458</xdr:rowOff>
    </xdr:from>
    <xdr:to>
      <xdr:col>5</xdr:col>
      <xdr:colOff>1346200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1778000" y="8370958"/>
          <a:ext cx="753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179458</xdr:rowOff>
    </xdr:from>
    <xdr:to>
      <xdr:col>8</xdr:col>
      <xdr:colOff>1447800</xdr:colOff>
      <xdr:row>14</xdr:row>
      <xdr:rowOff>496958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419829-3EDD-694F-972D-677B3CDE172F}"/>
            </a:ext>
          </a:extLst>
        </xdr:cNvPr>
        <xdr:cNvSpPr txBox="1"/>
      </xdr:nvSpPr>
      <xdr:spPr>
        <a:xfrm>
          <a:off x="9309100" y="8370958"/>
          <a:ext cx="753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16</xdr:row>
      <xdr:rowOff>177800</xdr:rowOff>
    </xdr:from>
    <xdr:to>
      <xdr:col>9</xdr:col>
      <xdr:colOff>38100</xdr:colOff>
      <xdr:row>16</xdr:row>
      <xdr:rowOff>502203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4E11B-03CE-814F-AA34-17C3AB80FBE2}"/>
            </a:ext>
          </a:extLst>
        </xdr:cNvPr>
        <xdr:cNvSpPr txBox="1"/>
      </xdr:nvSpPr>
      <xdr:spPr>
        <a:xfrm>
          <a:off x="9194800" y="9639300"/>
          <a:ext cx="871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5</xdr:col>
      <xdr:colOff>1155700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85852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2</xdr:col>
      <xdr:colOff>1244600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8799" y="582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12</xdr:row>
      <xdr:rowOff>160867</xdr:rowOff>
    </xdr:from>
    <xdr:to>
      <xdr:col>5</xdr:col>
      <xdr:colOff>1244600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399" y="7082367"/>
          <a:ext cx="86741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173567</xdr:rowOff>
    </xdr:from>
    <xdr:to>
      <xdr:col>5</xdr:col>
      <xdr:colOff>1244600</xdr:colOff>
      <xdr:row>16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05FB50-BCBF-DC40-8DC9-2CCEB658B53A}"/>
            </a:ext>
          </a:extLst>
        </xdr:cNvPr>
        <xdr:cNvSpPr txBox="1"/>
      </xdr:nvSpPr>
      <xdr:spPr>
        <a:xfrm>
          <a:off x="546099" y="9635067"/>
          <a:ext cx="86614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6</xdr:row>
      <xdr:rowOff>177249</xdr:rowOff>
    </xdr:from>
    <xdr:to>
      <xdr:col>8</xdr:col>
      <xdr:colOff>1397000</xdr:colOff>
      <xdr:row>6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D4C9939-DC79-A74B-98ED-01A9354683A7}"/>
            </a:ext>
          </a:extLst>
        </xdr:cNvPr>
        <xdr:cNvSpPr txBox="1"/>
      </xdr:nvSpPr>
      <xdr:spPr>
        <a:xfrm>
          <a:off x="9283700" y="3288749"/>
          <a:ext cx="75057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6</xdr:row>
      <xdr:rowOff>177248</xdr:rowOff>
    </xdr:from>
    <xdr:to>
      <xdr:col>5</xdr:col>
      <xdr:colOff>1333500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1714500" y="3288748"/>
          <a:ext cx="758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613DB1-4769-2D4C-A41B-67DCBAF1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1200978</xdr:colOff>
      <xdr:row>10</xdr:row>
      <xdr:rowOff>151848</xdr:rowOff>
    </xdr:from>
    <xdr:to>
      <xdr:col>8</xdr:col>
      <xdr:colOff>2470977</xdr:colOff>
      <xdr:row>10</xdr:row>
      <xdr:rowOff>427935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16551413" y="5797826"/>
          <a:ext cx="1269999" cy="27608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endParaRPr lang="en-US" sz="1300" b="0">
            <a:solidFill>
              <a:sysClr val="windowText" lastClr="000000"/>
            </a:solidFill>
            <a:latin typeface="Montserrat" pitchFamily="2" charset="77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13804</xdr:colOff>
      <xdr:row>8</xdr:row>
      <xdr:rowOff>193812</xdr:rowOff>
    </xdr:from>
    <xdr:to>
      <xdr:col>5</xdr:col>
      <xdr:colOff>1325217</xdr:colOff>
      <xdr:row>8</xdr:row>
      <xdr:rowOff>538369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538369" y="4569790"/>
          <a:ext cx="872434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1214783</xdr:colOff>
      <xdr:row>6</xdr:row>
      <xdr:rowOff>152400</xdr:rowOff>
    </xdr:from>
    <xdr:to>
      <xdr:col>5</xdr:col>
      <xdr:colOff>1352826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1739348" y="3258378"/>
          <a:ext cx="7550978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5</xdr:col>
      <xdr:colOff>1325215</xdr:colOff>
      <xdr:row>10</xdr:row>
      <xdr:rowOff>150927</xdr:rowOff>
    </xdr:from>
    <xdr:ext cx="7316307" cy="27700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9262715" y="5796905"/>
          <a:ext cx="7316307" cy="2770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oneCellAnchor>
  <xdr:twoCellAnchor>
    <xdr:from>
      <xdr:col>5</xdr:col>
      <xdr:colOff>1380435</xdr:colOff>
      <xdr:row>12</xdr:row>
      <xdr:rowOff>124240</xdr:rowOff>
    </xdr:from>
    <xdr:to>
      <xdr:col>8</xdr:col>
      <xdr:colOff>2457173</xdr:colOff>
      <xdr:row>12</xdr:row>
      <xdr:rowOff>414131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9317935" y="7040218"/>
          <a:ext cx="8489673" cy="2898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1325217</xdr:colOff>
      <xdr:row>8</xdr:row>
      <xdr:rowOff>193262</xdr:rowOff>
    </xdr:from>
    <xdr:to>
      <xdr:col>8</xdr:col>
      <xdr:colOff>2457173</xdr:colOff>
      <xdr:row>8</xdr:row>
      <xdr:rowOff>538370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262717" y="4569240"/>
          <a:ext cx="8544891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1339020</xdr:colOff>
      <xdr:row>6</xdr:row>
      <xdr:rowOff>151849</xdr:rowOff>
    </xdr:from>
    <xdr:to>
      <xdr:col>8</xdr:col>
      <xdr:colOff>1325216</xdr:colOff>
      <xdr:row>6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9276520" y="3257827"/>
          <a:ext cx="7399131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12</xdr:row>
      <xdr:rowOff>124239</xdr:rowOff>
    </xdr:from>
    <xdr:to>
      <xdr:col>5</xdr:col>
      <xdr:colOff>1380435</xdr:colOff>
      <xdr:row>12</xdr:row>
      <xdr:rowOff>412474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516283" y="7040217"/>
          <a:ext cx="8801652" cy="28823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1311413</xdr:colOff>
      <xdr:row>10</xdr:row>
      <xdr:rowOff>151848</xdr:rowOff>
    </xdr:from>
    <xdr:to>
      <xdr:col>5</xdr:col>
      <xdr:colOff>1339022</xdr:colOff>
      <xdr:row>10</xdr:row>
      <xdr:rowOff>427936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1835978" y="5797826"/>
          <a:ext cx="7440544" cy="2760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261178</xdr:colOff>
      <xdr:row>6</xdr:row>
      <xdr:rowOff>163996</xdr:rowOff>
    </xdr:from>
    <xdr:to>
      <xdr:col>2</xdr:col>
      <xdr:colOff>1218097</xdr:colOff>
      <xdr:row>6</xdr:row>
      <xdr:rowOff>481496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523461" y="3269974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27608</xdr:colOff>
      <xdr:row>14</xdr:row>
      <xdr:rowOff>150191</xdr:rowOff>
    </xdr:from>
    <xdr:to>
      <xdr:col>2</xdr:col>
      <xdr:colOff>1234109</xdr:colOff>
      <xdr:row>14</xdr:row>
      <xdr:rowOff>467691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3D912A-8869-CC40-84A8-8D4DEFE14D24}"/>
            </a:ext>
          </a:extLst>
        </xdr:cNvPr>
        <xdr:cNvSpPr txBox="1"/>
      </xdr:nvSpPr>
      <xdr:spPr>
        <a:xfrm>
          <a:off x="552173" y="8336169"/>
          <a:ext cx="120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10</xdr:row>
      <xdr:rowOff>155713</xdr:rowOff>
    </xdr:from>
    <xdr:to>
      <xdr:col>2</xdr:col>
      <xdr:colOff>1311413</xdr:colOff>
      <xdr:row>10</xdr:row>
      <xdr:rowOff>427934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47205" y="5801691"/>
          <a:ext cx="1288773" cy="27222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1334605</xdr:colOff>
      <xdr:row>6</xdr:row>
      <xdr:rowOff>152401</xdr:rowOff>
    </xdr:from>
    <xdr:to>
      <xdr:col>9</xdr:col>
      <xdr:colOff>1</xdr:colOff>
      <xdr:row>6</xdr:row>
      <xdr:rowOff>497510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16685040" y="3258379"/>
          <a:ext cx="1136374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1242391</xdr:colOff>
      <xdr:row>14</xdr:row>
      <xdr:rowOff>151848</xdr:rowOff>
    </xdr:from>
    <xdr:to>
      <xdr:col>5</xdr:col>
      <xdr:colOff>1283804</xdr:colOff>
      <xdr:row>14</xdr:row>
      <xdr:rowOff>469348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A77BEE-3EF6-864A-85BC-E24B202A5FCC}"/>
            </a:ext>
          </a:extLst>
        </xdr:cNvPr>
        <xdr:cNvSpPr txBox="1"/>
      </xdr:nvSpPr>
      <xdr:spPr>
        <a:xfrm>
          <a:off x="1766956" y="8337826"/>
          <a:ext cx="7454348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2208695</xdr:colOff>
      <xdr:row>1</xdr:row>
      <xdr:rowOff>634999</xdr:rowOff>
    </xdr:from>
    <xdr:to>
      <xdr:col>8</xdr:col>
      <xdr:colOff>2180103</xdr:colOff>
      <xdr:row>3</xdr:row>
      <xdr:rowOff>594909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7A721-C77E-A34A-BDD1-42123192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8152" y="828260"/>
          <a:ext cx="2442386" cy="1160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1003300</xdr:colOff>
      <xdr:row>6</xdr:row>
      <xdr:rowOff>177800</xdr:rowOff>
    </xdr:from>
    <xdr:to>
      <xdr:col>5</xdr:col>
      <xdr:colOff>1244600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1536700" y="3289300"/>
          <a:ext cx="767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5</xdr:col>
      <xdr:colOff>1270000</xdr:colOff>
      <xdr:row>8</xdr:row>
      <xdr:rowOff>495300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58800" y="4559300"/>
          <a:ext cx="867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5</xdr:col>
      <xdr:colOff>1244600</xdr:colOff>
      <xdr:row>12</xdr:row>
      <xdr:rowOff>469900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558800" y="7073900"/>
          <a:ext cx="864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177800</xdr:rowOff>
    </xdr:from>
    <xdr:to>
      <xdr:col>5</xdr:col>
      <xdr:colOff>1384300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1778000" y="8369300"/>
          <a:ext cx="756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190500</xdr:rowOff>
    </xdr:from>
    <xdr:to>
      <xdr:col>5</xdr:col>
      <xdr:colOff>1295400</xdr:colOff>
      <xdr:row>10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1752600" y="5842000"/>
          <a:ext cx="750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177800</xdr:rowOff>
    </xdr:from>
    <xdr:to>
      <xdr:col>8</xdr:col>
      <xdr:colOff>2463800</xdr:colOff>
      <xdr:row>8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220200" y="4559300"/>
          <a:ext cx="863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12</xdr:row>
      <xdr:rowOff>152400</xdr:rowOff>
    </xdr:from>
    <xdr:to>
      <xdr:col>8</xdr:col>
      <xdr:colOff>2463800</xdr:colOff>
      <xdr:row>12</xdr:row>
      <xdr:rowOff>469900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207500" y="7073900"/>
          <a:ext cx="864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8</xdr:col>
      <xdr:colOff>1320800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9207500" y="32893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190500</xdr:rowOff>
    </xdr:from>
    <xdr:to>
      <xdr:col>8</xdr:col>
      <xdr:colOff>1435100</xdr:colOff>
      <xdr:row>10</xdr:row>
      <xdr:rowOff>508000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9245600" y="5842000"/>
          <a:ext cx="758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1384300</xdr:colOff>
      <xdr:row>14</xdr:row>
      <xdr:rowOff>177800</xdr:rowOff>
    </xdr:from>
    <xdr:to>
      <xdr:col>8</xdr:col>
      <xdr:colOff>1600199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9347200" y="8369300"/>
          <a:ext cx="76453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10</xdr:row>
      <xdr:rowOff>190500</xdr:rowOff>
    </xdr:from>
    <xdr:to>
      <xdr:col>2</xdr:col>
      <xdr:colOff>1231901</xdr:colOff>
      <xdr:row>10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546101" y="58420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1320801</xdr:colOff>
      <xdr:row>6</xdr:row>
      <xdr:rowOff>177800</xdr:rowOff>
    </xdr:from>
    <xdr:to>
      <xdr:col>9</xdr:col>
      <xdr:colOff>1</xdr:colOff>
      <xdr:row>6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16713201" y="3289300"/>
          <a:ext cx="115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1422401</xdr:colOff>
      <xdr:row>10</xdr:row>
      <xdr:rowOff>190500</xdr:rowOff>
    </xdr:from>
    <xdr:to>
      <xdr:col>8</xdr:col>
      <xdr:colOff>2463801</xdr:colOff>
      <xdr:row>10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16814801" y="5842000"/>
          <a:ext cx="104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FB8F0-9F6C-2E40-B4C9-EFE34820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1219200</xdr:colOff>
      <xdr:row>8</xdr:row>
      <xdr:rowOff>228601</xdr:rowOff>
    </xdr:from>
    <xdr:to>
      <xdr:col>8</xdr:col>
      <xdr:colOff>2451100</xdr:colOff>
      <xdr:row>8</xdr:row>
      <xdr:rowOff>546101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182100" y="4610101"/>
          <a:ext cx="866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12</xdr:row>
      <xdr:rowOff>177801</xdr:rowOff>
    </xdr:from>
    <xdr:to>
      <xdr:col>8</xdr:col>
      <xdr:colOff>2463800</xdr:colOff>
      <xdr:row>12</xdr:row>
      <xdr:rowOff>495301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258300" y="7099301"/>
          <a:ext cx="859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6</xdr:row>
      <xdr:rowOff>165100</xdr:rowOff>
    </xdr:from>
    <xdr:to>
      <xdr:col>8</xdr:col>
      <xdr:colOff>1308100</xdr:colOff>
      <xdr:row>6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3C2ED2-7F89-0A4C-AA60-28FB26DA4898}"/>
            </a:ext>
          </a:extLst>
        </xdr:cNvPr>
        <xdr:cNvSpPr txBox="1"/>
      </xdr:nvSpPr>
      <xdr:spPr>
        <a:xfrm>
          <a:off x="9118600" y="3276600"/>
          <a:ext cx="758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10</xdr:row>
      <xdr:rowOff>177800</xdr:rowOff>
    </xdr:from>
    <xdr:to>
      <xdr:col>8</xdr:col>
      <xdr:colOff>1498600</xdr:colOff>
      <xdr:row>10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145335C-B15A-0A46-891E-2CCADB639C84}"/>
            </a:ext>
          </a:extLst>
        </xdr:cNvPr>
        <xdr:cNvSpPr txBox="1"/>
      </xdr:nvSpPr>
      <xdr:spPr>
        <a:xfrm>
          <a:off x="9220200" y="5829300"/>
          <a:ext cx="7670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14</xdr:row>
      <xdr:rowOff>177800</xdr:rowOff>
    </xdr:from>
    <xdr:to>
      <xdr:col>8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9296400" y="8369300"/>
          <a:ext cx="742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5</xdr:col>
      <xdr:colOff>1257300</xdr:colOff>
      <xdr:row>10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803400" y="5829300"/>
          <a:ext cx="74168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1333500</xdr:colOff>
      <xdr:row>14</xdr:row>
      <xdr:rowOff>177800</xdr:rowOff>
    </xdr:from>
    <xdr:to>
      <xdr:col>9</xdr:col>
      <xdr:colOff>25400</xdr:colOff>
      <xdr:row>14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A294589-5ACA-A541-B9B0-62EF09E783D2}"/>
            </a:ext>
          </a:extLst>
        </xdr:cNvPr>
        <xdr:cNvSpPr txBox="1"/>
      </xdr:nvSpPr>
      <xdr:spPr>
        <a:xfrm>
          <a:off x="16725900" y="8369300"/>
          <a:ext cx="116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228600</xdr:rowOff>
    </xdr:from>
    <xdr:to>
      <xdr:col>5</xdr:col>
      <xdr:colOff>1219200</xdr:colOff>
      <xdr:row>8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71500" y="4610100"/>
          <a:ext cx="861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5</xdr:col>
      <xdr:colOff>1346200</xdr:colOff>
      <xdr:row>16</xdr:row>
      <xdr:rowOff>520700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546100" y="96647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5</xdr:col>
      <xdr:colOff>1282700</xdr:colOff>
      <xdr:row>12</xdr:row>
      <xdr:rowOff>495300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46100" y="7099300"/>
          <a:ext cx="869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1803400" y="8369300"/>
          <a:ext cx="749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58800" y="582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1498601</xdr:colOff>
      <xdr:row>10</xdr:row>
      <xdr:rowOff>177800</xdr:rowOff>
    </xdr:from>
    <xdr:to>
      <xdr:col>9</xdr:col>
      <xdr:colOff>1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16891001" y="5829300"/>
          <a:ext cx="977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1308100</xdr:colOff>
      <xdr:row>6</xdr:row>
      <xdr:rowOff>165100</xdr:rowOff>
    </xdr:from>
    <xdr:to>
      <xdr:col>9</xdr:col>
      <xdr:colOff>76199</xdr:colOff>
      <xdr:row>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16700500" y="32766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46813-A6ED-464A-AB3A-5A3331855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177800</xdr:rowOff>
    </xdr:from>
    <xdr:to>
      <xdr:col>5</xdr:col>
      <xdr:colOff>1371600</xdr:colOff>
      <xdr:row>6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533400" y="3289300"/>
          <a:ext cx="880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5</xdr:col>
      <xdr:colOff>1358900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46100" y="5816600"/>
          <a:ext cx="877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190500</xdr:rowOff>
    </xdr:from>
    <xdr:to>
      <xdr:col>5</xdr:col>
      <xdr:colOff>1333500</xdr:colOff>
      <xdr:row>14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33400" y="83820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8</xdr:row>
      <xdr:rowOff>165100</xdr:rowOff>
    </xdr:from>
    <xdr:to>
      <xdr:col>5</xdr:col>
      <xdr:colOff>1333500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1765300" y="4546600"/>
          <a:ext cx="753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1765300" y="7086600"/>
          <a:ext cx="753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6</xdr:row>
      <xdr:rowOff>177800</xdr:rowOff>
    </xdr:from>
    <xdr:to>
      <xdr:col>9</xdr:col>
      <xdr:colOff>0</xdr:colOff>
      <xdr:row>6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321800" y="3289300"/>
          <a:ext cx="8547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10</xdr:row>
      <xdr:rowOff>165101</xdr:rowOff>
    </xdr:from>
    <xdr:to>
      <xdr:col>8</xdr:col>
      <xdr:colOff>2463800</xdr:colOff>
      <xdr:row>10</xdr:row>
      <xdr:rowOff>482601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321800" y="5816601"/>
          <a:ext cx="8534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8</xdr:row>
      <xdr:rowOff>165100</xdr:rowOff>
    </xdr:from>
    <xdr:to>
      <xdr:col>8</xdr:col>
      <xdr:colOff>1384300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9296400" y="4546600"/>
          <a:ext cx="748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12</xdr:row>
      <xdr:rowOff>165100</xdr:rowOff>
    </xdr:from>
    <xdr:to>
      <xdr:col>8</xdr:col>
      <xdr:colOff>1625600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9309100" y="7086600"/>
          <a:ext cx="7708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165100</xdr:rowOff>
    </xdr:from>
    <xdr:to>
      <xdr:col>2</xdr:col>
      <xdr:colOff>1269999</xdr:colOff>
      <xdr:row>8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58800" y="454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1397000</xdr:colOff>
      <xdr:row>8</xdr:row>
      <xdr:rowOff>165100</xdr:rowOff>
    </xdr:from>
    <xdr:to>
      <xdr:col>9</xdr:col>
      <xdr:colOff>63499</xdr:colOff>
      <xdr:row>8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16789400" y="4546600"/>
          <a:ext cx="11429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165100</xdr:rowOff>
    </xdr:from>
    <xdr:to>
      <xdr:col>2</xdr:col>
      <xdr:colOff>1244599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33400" y="708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1244600</xdr:colOff>
      <xdr:row>12</xdr:row>
      <xdr:rowOff>152400</xdr:rowOff>
    </xdr:from>
    <xdr:to>
      <xdr:col>9</xdr:col>
      <xdr:colOff>12699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16637000" y="7073900"/>
          <a:ext cx="1244599" cy="3301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1295401</xdr:colOff>
      <xdr:row>14</xdr:row>
      <xdr:rowOff>190500</xdr:rowOff>
    </xdr:from>
    <xdr:to>
      <xdr:col>6</xdr:col>
      <xdr:colOff>1</xdr:colOff>
      <xdr:row>14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A1C809-9470-1241-B1E5-BCAD2FC7AA1E}"/>
            </a:ext>
          </a:extLst>
        </xdr:cNvPr>
        <xdr:cNvSpPr txBox="1"/>
      </xdr:nvSpPr>
      <xdr:spPr>
        <a:xfrm>
          <a:off x="9258301" y="83820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08C5D-FB9C-7442-8B87-2D2F65B9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1219200</xdr:colOff>
      <xdr:row>6</xdr:row>
      <xdr:rowOff>190501</xdr:rowOff>
    </xdr:from>
    <xdr:to>
      <xdr:col>9</xdr:col>
      <xdr:colOff>12700</xdr:colOff>
      <xdr:row>6</xdr:row>
      <xdr:rowOff>508001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9182100" y="3302001"/>
          <a:ext cx="869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10</xdr:row>
      <xdr:rowOff>177801</xdr:rowOff>
    </xdr:from>
    <xdr:to>
      <xdr:col>9</xdr:col>
      <xdr:colOff>12700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309100" y="5829301"/>
          <a:ext cx="857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203200</xdr:rowOff>
    </xdr:from>
    <xdr:to>
      <xdr:col>5</xdr:col>
      <xdr:colOff>1358900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1778000" y="4584700"/>
          <a:ext cx="754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1371600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546100" y="5829300"/>
          <a:ext cx="878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177800</xdr:rowOff>
    </xdr:from>
    <xdr:to>
      <xdr:col>5</xdr:col>
      <xdr:colOff>1320800</xdr:colOff>
      <xdr:row>12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1803400" y="7099300"/>
          <a:ext cx="748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8</xdr:row>
      <xdr:rowOff>203200</xdr:rowOff>
    </xdr:from>
    <xdr:to>
      <xdr:col>8</xdr:col>
      <xdr:colOff>1333500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9321800" y="4584700"/>
          <a:ext cx="740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177800</xdr:rowOff>
    </xdr:from>
    <xdr:to>
      <xdr:col>8</xdr:col>
      <xdr:colOff>1384300</xdr:colOff>
      <xdr:row>12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9271000" y="70993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58800" y="8369300"/>
          <a:ext cx="873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14</xdr:row>
      <xdr:rowOff>165100</xdr:rowOff>
    </xdr:from>
    <xdr:to>
      <xdr:col>9</xdr:col>
      <xdr:colOff>25400</xdr:colOff>
      <xdr:row>14</xdr:row>
      <xdr:rowOff>489503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296400" y="8356600"/>
          <a:ext cx="85979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1320801</xdr:colOff>
      <xdr:row>8</xdr:row>
      <xdr:rowOff>203200</xdr:rowOff>
    </xdr:from>
    <xdr:to>
      <xdr:col>8</xdr:col>
      <xdr:colOff>2463801</xdr:colOff>
      <xdr:row>8</xdr:row>
      <xdr:rowOff>508000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16713201" y="4584700"/>
          <a:ext cx="1143000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2</xdr:col>
      <xdr:colOff>1269999</xdr:colOff>
      <xdr:row>8</xdr:row>
      <xdr:rowOff>520700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58800" y="45847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1371601</xdr:colOff>
      <xdr:row>12</xdr:row>
      <xdr:rowOff>165100</xdr:rowOff>
    </xdr:from>
    <xdr:to>
      <xdr:col>9</xdr:col>
      <xdr:colOff>25401</xdr:colOff>
      <xdr:row>12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16764001" y="7086600"/>
          <a:ext cx="113030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588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6F1F98-19C5-704F-A9AD-A79AEAA0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1282700</xdr:colOff>
      <xdr:row>8</xdr:row>
      <xdr:rowOff>177800</xdr:rowOff>
    </xdr:from>
    <xdr:to>
      <xdr:col>8</xdr:col>
      <xdr:colOff>1358900</xdr:colOff>
      <xdr:row>8</xdr:row>
      <xdr:rowOff>495299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9DEC75-BCAE-1742-BFC3-04B5BBC0BEE7}"/>
            </a:ext>
          </a:extLst>
        </xdr:cNvPr>
        <xdr:cNvSpPr txBox="1"/>
      </xdr:nvSpPr>
      <xdr:spPr>
        <a:xfrm>
          <a:off x="9245600" y="4559300"/>
          <a:ext cx="750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12</xdr:row>
      <xdr:rowOff>165100</xdr:rowOff>
    </xdr:from>
    <xdr:to>
      <xdr:col>8</xdr:col>
      <xdr:colOff>1435100</xdr:colOff>
      <xdr:row>12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94F151-DEFE-A14B-AF92-74B355698001}"/>
            </a:ext>
          </a:extLst>
        </xdr:cNvPr>
        <xdr:cNvSpPr txBox="1"/>
      </xdr:nvSpPr>
      <xdr:spPr>
        <a:xfrm>
          <a:off x="9309100" y="7086600"/>
          <a:ext cx="751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5</xdr:col>
      <xdr:colOff>1346200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46100" y="5816600"/>
          <a:ext cx="876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5</xdr:col>
      <xdr:colOff>1181100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46100" y="8369300"/>
          <a:ext cx="859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1803400" y="7086600"/>
          <a:ext cx="749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177800</xdr:rowOff>
    </xdr:from>
    <xdr:to>
      <xdr:col>5</xdr:col>
      <xdr:colOff>1282700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1778000" y="4559300"/>
          <a:ext cx="746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10</xdr:row>
      <xdr:rowOff>165100</xdr:rowOff>
    </xdr:from>
    <xdr:to>
      <xdr:col>9</xdr:col>
      <xdr:colOff>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309100" y="5816600"/>
          <a:ext cx="855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6</xdr:row>
      <xdr:rowOff>152400</xdr:rowOff>
    </xdr:from>
    <xdr:to>
      <xdr:col>9</xdr:col>
      <xdr:colOff>0</xdr:colOff>
      <xdr:row>6</xdr:row>
      <xdr:rowOff>469900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9194800" y="3263900"/>
          <a:ext cx="867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144000" y="8369300"/>
          <a:ext cx="872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2</xdr:col>
      <xdr:colOff>1193800</xdr:colOff>
      <xdr:row>16</xdr:row>
      <xdr:rowOff>520700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546100" y="9664700"/>
          <a:ext cx="118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1346201</xdr:colOff>
      <xdr:row>8</xdr:row>
      <xdr:rowOff>177800</xdr:rowOff>
    </xdr:from>
    <xdr:to>
      <xdr:col>9</xdr:col>
      <xdr:colOff>12701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16738601" y="4559300"/>
          <a:ext cx="114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1269999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58800" y="455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1397001</xdr:colOff>
      <xdr:row>12</xdr:row>
      <xdr:rowOff>165100</xdr:rowOff>
    </xdr:from>
    <xdr:to>
      <xdr:col>9</xdr:col>
      <xdr:colOff>12701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16789401" y="7086600"/>
          <a:ext cx="109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16</xdr:row>
      <xdr:rowOff>203200</xdr:rowOff>
    </xdr:from>
    <xdr:to>
      <xdr:col>5</xdr:col>
      <xdr:colOff>1181100</xdr:colOff>
      <xdr:row>16</xdr:row>
      <xdr:rowOff>520700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1739900" y="9664700"/>
          <a:ext cx="740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E3F3E5-6849-EC43-94C7-82DF1EF7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1282700</xdr:colOff>
      <xdr:row>8</xdr:row>
      <xdr:rowOff>190500</xdr:rowOff>
    </xdr:from>
    <xdr:to>
      <xdr:col>8</xdr:col>
      <xdr:colOff>2463800</xdr:colOff>
      <xdr:row>8</xdr:row>
      <xdr:rowOff>508000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9245600" y="4572000"/>
          <a:ext cx="861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203200</xdr:rowOff>
    </xdr:from>
    <xdr:to>
      <xdr:col>9</xdr:col>
      <xdr:colOff>0</xdr:colOff>
      <xdr:row>12</xdr:row>
      <xdr:rowOff>520700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232900" y="7124700"/>
          <a:ext cx="863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1054100</xdr:colOff>
      <xdr:row>6</xdr:row>
      <xdr:rowOff>177800</xdr:rowOff>
    </xdr:from>
    <xdr:to>
      <xdr:col>5</xdr:col>
      <xdr:colOff>1282700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1587500" y="3289300"/>
          <a:ext cx="7658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5</xdr:col>
      <xdr:colOff>1282700</xdr:colOff>
      <xdr:row>8</xdr:row>
      <xdr:rowOff>507999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546100" y="4572000"/>
          <a:ext cx="869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177800</xdr:rowOff>
    </xdr:from>
    <xdr:to>
      <xdr:col>5</xdr:col>
      <xdr:colOff>1282700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1790700" y="5829300"/>
          <a:ext cx="745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203200</xdr:rowOff>
    </xdr:from>
    <xdr:to>
      <xdr:col>5</xdr:col>
      <xdr:colOff>1295400</xdr:colOff>
      <xdr:row>12</xdr:row>
      <xdr:rowOff>520699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58800" y="7124700"/>
          <a:ext cx="869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203200</xdr:rowOff>
    </xdr:from>
    <xdr:to>
      <xdr:col>5</xdr:col>
      <xdr:colOff>1257300</xdr:colOff>
      <xdr:row>14</xdr:row>
      <xdr:rowOff>520699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1790700" y="8394700"/>
          <a:ext cx="7429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6</xdr:row>
      <xdr:rowOff>177800</xdr:rowOff>
    </xdr:from>
    <xdr:to>
      <xdr:col>8</xdr:col>
      <xdr:colOff>1346200</xdr:colOff>
      <xdr:row>6</xdr:row>
      <xdr:rowOff>495299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245600" y="3289300"/>
          <a:ext cx="749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8</xdr:col>
      <xdr:colOff>1371600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9245600" y="5829300"/>
          <a:ext cx="751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1270000</xdr:colOff>
      <xdr:row>6</xdr:row>
      <xdr:rowOff>177800</xdr:rowOff>
    </xdr:from>
    <xdr:to>
      <xdr:col>9</xdr:col>
      <xdr:colOff>38099</xdr:colOff>
      <xdr:row>6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16662400" y="3289300"/>
          <a:ext cx="12445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203200</xdr:rowOff>
    </xdr:from>
    <xdr:to>
      <xdr:col>2</xdr:col>
      <xdr:colOff>1257299</xdr:colOff>
      <xdr:row>14</xdr:row>
      <xdr:rowOff>520700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46100" y="83947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1384301</xdr:colOff>
      <xdr:row>10</xdr:row>
      <xdr:rowOff>177800</xdr:rowOff>
    </xdr:from>
    <xdr:to>
      <xdr:col>9</xdr:col>
      <xdr:colOff>1</xdr:colOff>
      <xdr:row>10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16776701" y="5829300"/>
          <a:ext cx="109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D136CD-66EA-BB4E-956A-26A83433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1206500</xdr:colOff>
      <xdr:row>6</xdr:row>
      <xdr:rowOff>165100</xdr:rowOff>
    </xdr:from>
    <xdr:to>
      <xdr:col>8</xdr:col>
      <xdr:colOff>1244600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9169400" y="3276600"/>
          <a:ext cx="746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10</xdr:row>
      <xdr:rowOff>177800</xdr:rowOff>
    </xdr:from>
    <xdr:to>
      <xdr:col>8</xdr:col>
      <xdr:colOff>1384300</xdr:colOff>
      <xdr:row>10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476E43-75C5-184E-B9E6-534119783A4D}"/>
            </a:ext>
          </a:extLst>
        </xdr:cNvPr>
        <xdr:cNvSpPr txBox="1"/>
      </xdr:nvSpPr>
      <xdr:spPr>
        <a:xfrm>
          <a:off x="9271000" y="5829300"/>
          <a:ext cx="750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8</xdr:col>
      <xdr:colOff>1409700</xdr:colOff>
      <xdr:row>14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C3C26B-180C-8840-A8A2-27CC39B220C9}"/>
            </a:ext>
          </a:extLst>
        </xdr:cNvPr>
        <xdr:cNvSpPr txBox="1"/>
      </xdr:nvSpPr>
      <xdr:spPr>
        <a:xfrm>
          <a:off x="9309100" y="8369300"/>
          <a:ext cx="749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8</xdr:row>
      <xdr:rowOff>177800</xdr:rowOff>
    </xdr:from>
    <xdr:to>
      <xdr:col>9</xdr:col>
      <xdr:colOff>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07500" y="4559300"/>
          <a:ext cx="86614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165101</xdr:rowOff>
    </xdr:from>
    <xdr:to>
      <xdr:col>9</xdr:col>
      <xdr:colOff>12700</xdr:colOff>
      <xdr:row>12</xdr:row>
      <xdr:rowOff>482601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9283700" y="7086601"/>
          <a:ext cx="8597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5</xdr:col>
      <xdr:colOff>1308100</xdr:colOff>
      <xdr:row>8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546100" y="4559300"/>
          <a:ext cx="872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177800</xdr:rowOff>
    </xdr:from>
    <xdr:to>
      <xdr:col>5</xdr:col>
      <xdr:colOff>1308100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1816100" y="5829300"/>
          <a:ext cx="745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5</xdr:col>
      <xdr:colOff>1333500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46100" y="7086600"/>
          <a:ext cx="875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1803400" y="8369300"/>
          <a:ext cx="751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1244600</xdr:colOff>
      <xdr:row>6</xdr:row>
      <xdr:rowOff>165100</xdr:rowOff>
    </xdr:from>
    <xdr:to>
      <xdr:col>9</xdr:col>
      <xdr:colOff>25400</xdr:colOff>
      <xdr:row>6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6637000" y="32766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165100</xdr:rowOff>
    </xdr:from>
    <xdr:to>
      <xdr:col>2</xdr:col>
      <xdr:colOff>1282700</xdr:colOff>
      <xdr:row>10</xdr:row>
      <xdr:rowOff>482599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58800" y="581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10</xdr:row>
      <xdr:rowOff>177800</xdr:rowOff>
    </xdr:from>
    <xdr:to>
      <xdr:col>9</xdr:col>
      <xdr:colOff>12700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16764000" y="5829300"/>
          <a:ext cx="11176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2151529</xdr:colOff>
      <xdr:row>1</xdr:row>
      <xdr:rowOff>642471</xdr:rowOff>
    </xdr:from>
    <xdr:to>
      <xdr:col>8</xdr:col>
      <xdr:colOff>2122937</xdr:colOff>
      <xdr:row>3</xdr:row>
      <xdr:rowOff>602381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10F7FD-F630-874C-A6F3-BBFE9C61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8" y="836706"/>
          <a:ext cx="2451643" cy="11701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1295400</xdr:colOff>
      <xdr:row>6</xdr:row>
      <xdr:rowOff>228600</xdr:rowOff>
    </xdr:from>
    <xdr:to>
      <xdr:col>9</xdr:col>
      <xdr:colOff>12700</xdr:colOff>
      <xdr:row>6</xdr:row>
      <xdr:rowOff>546099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9258300" y="3340100"/>
          <a:ext cx="862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8</xdr:row>
      <xdr:rowOff>177800</xdr:rowOff>
    </xdr:from>
    <xdr:to>
      <xdr:col>8</xdr:col>
      <xdr:colOff>1447800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296400" y="4559300"/>
          <a:ext cx="754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1409700</xdr:colOff>
      <xdr:row>12</xdr:row>
      <xdr:rowOff>177800</xdr:rowOff>
    </xdr:from>
    <xdr:to>
      <xdr:col>8</xdr:col>
      <xdr:colOff>1473200</xdr:colOff>
      <xdr:row>12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372600" y="7099300"/>
          <a:ext cx="749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8</xdr:row>
      <xdr:rowOff>177800</xdr:rowOff>
    </xdr:from>
    <xdr:to>
      <xdr:col>5</xdr:col>
      <xdr:colOff>1333500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1816100" y="4559300"/>
          <a:ext cx="748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5</xdr:col>
      <xdr:colOff>1409700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558800" y="5829300"/>
          <a:ext cx="881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165100</xdr:rowOff>
    </xdr:from>
    <xdr:to>
      <xdr:col>5</xdr:col>
      <xdr:colOff>1409700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1816100" y="7086600"/>
          <a:ext cx="755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5</xdr:col>
      <xdr:colOff>1409700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546100" y="8369300"/>
          <a:ext cx="882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1409700</xdr:colOff>
      <xdr:row>10</xdr:row>
      <xdr:rowOff>177800</xdr:rowOff>
    </xdr:from>
    <xdr:to>
      <xdr:col>9</xdr:col>
      <xdr:colOff>25400</xdr:colOff>
      <xdr:row>10</xdr:row>
      <xdr:rowOff>495299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9372600" y="5829300"/>
          <a:ext cx="8521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1485900</xdr:colOff>
      <xdr:row>12</xdr:row>
      <xdr:rowOff>177800</xdr:rowOff>
    </xdr:from>
    <xdr:to>
      <xdr:col>9</xdr:col>
      <xdr:colOff>12700</xdr:colOff>
      <xdr:row>12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16878300" y="7099300"/>
          <a:ext cx="1003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1282700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5</xdr:col>
      <xdr:colOff>1308100</xdr:colOff>
      <xdr:row>6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546100" y="3340100"/>
          <a:ext cx="872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1435100</xdr:colOff>
      <xdr:row>8</xdr:row>
      <xdr:rowOff>177800</xdr:rowOff>
    </xdr:from>
    <xdr:to>
      <xdr:col>9</xdr:col>
      <xdr:colOff>12700</xdr:colOff>
      <xdr:row>8</xdr:row>
      <xdr:rowOff>495299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16827500" y="4559300"/>
          <a:ext cx="105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131FDE-6E93-BB40-A870-9A19B259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1409700</xdr:colOff>
      <xdr:row>10</xdr:row>
      <xdr:rowOff>177800</xdr:rowOff>
    </xdr:from>
    <xdr:to>
      <xdr:col>9</xdr:col>
      <xdr:colOff>12700</xdr:colOff>
      <xdr:row>10</xdr:row>
      <xdr:rowOff>507999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372600" y="5829300"/>
          <a:ext cx="8509000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1447800</xdr:colOff>
      <xdr:row>14</xdr:row>
      <xdr:rowOff>165100</xdr:rowOff>
    </xdr:from>
    <xdr:to>
      <xdr:col>7</xdr:col>
      <xdr:colOff>0</xdr:colOff>
      <xdr:row>14</xdr:row>
      <xdr:rowOff>489503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410700" y="8356600"/>
          <a:ext cx="3505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1143000</xdr:colOff>
      <xdr:row>6</xdr:row>
      <xdr:rowOff>203200</xdr:rowOff>
    </xdr:from>
    <xdr:to>
      <xdr:col>9</xdr:col>
      <xdr:colOff>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105900" y="3314700"/>
          <a:ext cx="876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8</xdr:row>
      <xdr:rowOff>177800</xdr:rowOff>
    </xdr:from>
    <xdr:to>
      <xdr:col>5</xdr:col>
      <xdr:colOff>1397000</xdr:colOff>
      <xdr:row>8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1752600" y="4559300"/>
          <a:ext cx="760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1422400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46100" y="5829300"/>
          <a:ext cx="883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12</xdr:row>
      <xdr:rowOff>152400</xdr:rowOff>
    </xdr:from>
    <xdr:to>
      <xdr:col>5</xdr:col>
      <xdr:colOff>1282700</xdr:colOff>
      <xdr:row>12</xdr:row>
      <xdr:rowOff>469900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1816100" y="7073900"/>
          <a:ext cx="742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165100</xdr:rowOff>
    </xdr:from>
    <xdr:to>
      <xdr:col>5</xdr:col>
      <xdr:colOff>1435100</xdr:colOff>
      <xdr:row>14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533400" y="8356600"/>
          <a:ext cx="886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1384300</xdr:colOff>
      <xdr:row>8</xdr:row>
      <xdr:rowOff>177800</xdr:rowOff>
    </xdr:from>
    <xdr:to>
      <xdr:col>8</xdr:col>
      <xdr:colOff>1384300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9347200" y="4559300"/>
          <a:ext cx="742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12</xdr:row>
      <xdr:rowOff>139700</xdr:rowOff>
    </xdr:from>
    <xdr:to>
      <xdr:col>8</xdr:col>
      <xdr:colOff>1409701</xdr:colOff>
      <xdr:row>12</xdr:row>
      <xdr:rowOff>457200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9245600" y="7061200"/>
          <a:ext cx="755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1397000</xdr:colOff>
      <xdr:row>8</xdr:row>
      <xdr:rowOff>177800</xdr:rowOff>
    </xdr:from>
    <xdr:to>
      <xdr:col>9</xdr:col>
      <xdr:colOff>12700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16789400" y="45593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1422400</xdr:colOff>
      <xdr:row>12</xdr:row>
      <xdr:rowOff>139700</xdr:rowOff>
    </xdr:from>
    <xdr:to>
      <xdr:col>9</xdr:col>
      <xdr:colOff>0</xdr:colOff>
      <xdr:row>12</xdr:row>
      <xdr:rowOff>457199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16814800" y="7061200"/>
          <a:ext cx="1054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1270000</xdr:colOff>
      <xdr:row>12</xdr:row>
      <xdr:rowOff>457199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46100" y="7086600"/>
          <a:ext cx="1257300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AAA28B-1ED4-E64C-846C-22249A71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1282701</xdr:colOff>
      <xdr:row>8</xdr:row>
      <xdr:rowOff>190500</xdr:rowOff>
    </xdr:from>
    <xdr:to>
      <xdr:col>8</xdr:col>
      <xdr:colOff>1358901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9245601" y="4572000"/>
          <a:ext cx="750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1308101</xdr:colOff>
      <xdr:row>12</xdr:row>
      <xdr:rowOff>165100</xdr:rowOff>
    </xdr:from>
    <xdr:to>
      <xdr:col>8</xdr:col>
      <xdr:colOff>1358901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7E9441-677D-924E-9F1E-388D17F1122D}"/>
            </a:ext>
          </a:extLst>
        </xdr:cNvPr>
        <xdr:cNvSpPr txBox="1"/>
      </xdr:nvSpPr>
      <xdr:spPr>
        <a:xfrm>
          <a:off x="9271001" y="7086600"/>
          <a:ext cx="748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1041400</xdr:colOff>
      <xdr:row>6</xdr:row>
      <xdr:rowOff>139701</xdr:rowOff>
    </xdr:from>
    <xdr:to>
      <xdr:col>9</xdr:col>
      <xdr:colOff>12700</xdr:colOff>
      <xdr:row>6</xdr:row>
      <xdr:rowOff>457201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9004300" y="3251201"/>
          <a:ext cx="887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177800</xdr:rowOff>
    </xdr:from>
    <xdr:to>
      <xdr:col>2</xdr:col>
      <xdr:colOff>1155700</xdr:colOff>
      <xdr:row>16</xdr:row>
      <xdr:rowOff>502203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558800" y="9639300"/>
          <a:ext cx="11303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10</xdr:row>
      <xdr:rowOff>177800</xdr:rowOff>
    </xdr:from>
    <xdr:to>
      <xdr:col>9</xdr:col>
      <xdr:colOff>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156700" y="5829300"/>
          <a:ext cx="871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14</xdr:row>
      <xdr:rowOff>177800</xdr:rowOff>
    </xdr:from>
    <xdr:to>
      <xdr:col>8</xdr:col>
      <xdr:colOff>2463800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245600" y="8369300"/>
          <a:ext cx="86106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8</xdr:row>
      <xdr:rowOff>190500</xdr:rowOff>
    </xdr:from>
    <xdr:to>
      <xdr:col>5</xdr:col>
      <xdr:colOff>1282700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1739900" y="4572000"/>
          <a:ext cx="750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5</xdr:col>
      <xdr:colOff>1193800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58800" y="5829300"/>
          <a:ext cx="859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1727200" y="7086600"/>
          <a:ext cx="754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5</xdr:col>
      <xdr:colOff>1282700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33400" y="8369300"/>
          <a:ext cx="871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8</xdr:row>
      <xdr:rowOff>190500</xdr:rowOff>
    </xdr:from>
    <xdr:to>
      <xdr:col>8</xdr:col>
      <xdr:colOff>2463800</xdr:colOff>
      <xdr:row>8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16764000" y="45720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177800</xdr:rowOff>
    </xdr:from>
    <xdr:to>
      <xdr:col>2</xdr:col>
      <xdr:colOff>1219200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71500" y="455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1371600</xdr:colOff>
      <xdr:row>12</xdr:row>
      <xdr:rowOff>165100</xdr:rowOff>
    </xdr:from>
    <xdr:to>
      <xdr:col>8</xdr:col>
      <xdr:colOff>2463800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16764000" y="7086600"/>
          <a:ext cx="109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1193800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46100" y="70866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16</xdr:row>
      <xdr:rowOff>190500</xdr:rowOff>
    </xdr:from>
    <xdr:to>
      <xdr:col>5</xdr:col>
      <xdr:colOff>1257300</xdr:colOff>
      <xdr:row>16</xdr:row>
      <xdr:rowOff>507999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1689100" y="9652000"/>
          <a:ext cx="753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2184400</xdr:colOff>
      <xdr:row>1</xdr:row>
      <xdr:rowOff>635000</xdr:rowOff>
    </xdr:from>
    <xdr:to>
      <xdr:col>8</xdr:col>
      <xdr:colOff>2155808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B7C2E9-DBF8-9C47-9F4A-77AFCF5D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825500"/>
          <a:ext cx="2447908" cy="116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76" t="s">
        <v>40</v>
      </c>
      <c r="D2" s="176"/>
      <c r="E2" s="176"/>
      <c r="F2" s="176"/>
      <c r="G2" s="176"/>
      <c r="H2" s="176"/>
      <c r="I2" s="177"/>
    </row>
    <row r="3" spans="2:9" s="16" customFormat="1" ht="20" customHeight="1" x14ac:dyDescent="0.15">
      <c r="C3" s="17" t="s">
        <v>0</v>
      </c>
      <c r="D3" s="154">
        <v>2023</v>
      </c>
      <c r="E3" s="19" t="s">
        <v>1</v>
      </c>
      <c r="F3" s="18" t="s">
        <v>2</v>
      </c>
      <c r="G3" s="20" t="s">
        <v>3</v>
      </c>
      <c r="H3" s="21"/>
      <c r="I3" s="22"/>
    </row>
    <row r="4" spans="2:9" ht="75" customHeight="1" x14ac:dyDescent="0.65">
      <c r="C4" s="156">
        <f>CalendarYear</f>
        <v>2023</v>
      </c>
      <c r="D4" s="181" t="s">
        <v>4</v>
      </c>
      <c r="E4" s="181"/>
      <c r="F4" s="181"/>
      <c r="G4" s="181"/>
      <c r="H4" s="181"/>
      <c r="I4" s="155"/>
    </row>
    <row r="5" spans="2:9" s="2" customFormat="1" ht="35" customHeight="1" x14ac:dyDescent="0.15">
      <c r="B5" s="88"/>
      <c r="C5" s="13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135">
        <f t="array" ref="C6:I6">DaysAndWeeks+DATE(CalendarYear,1,1)-WEEKDAY(DATE(CalendarYear,1,1),(WeekStart="M")+1)+1</f>
        <v>44927</v>
      </c>
      <c r="D6" s="25">
        <v>44928</v>
      </c>
      <c r="E6" s="25">
        <v>44929</v>
      </c>
      <c r="F6" s="25">
        <v>44930</v>
      </c>
      <c r="G6" s="159">
        <v>44931</v>
      </c>
      <c r="H6" s="25">
        <v>44932</v>
      </c>
      <c r="I6" s="26">
        <v>44933</v>
      </c>
    </row>
    <row r="7" spans="2:9" s="6" customFormat="1" ht="75" customHeight="1" x14ac:dyDescent="0.15">
      <c r="B7" s="81"/>
      <c r="C7" s="130">
        <v>0.625</v>
      </c>
      <c r="D7" s="8"/>
      <c r="E7" s="56"/>
      <c r="F7" s="161" t="s">
        <v>5</v>
      </c>
      <c r="G7" s="160"/>
      <c r="H7" s="7"/>
      <c r="I7" s="162" t="s">
        <v>5</v>
      </c>
    </row>
    <row r="8" spans="2:9" s="35" customFormat="1" ht="25" customHeight="1" x14ac:dyDescent="0.2">
      <c r="B8" s="83"/>
      <c r="C8" s="23">
        <f t="array" ref="C8:I8">DaysAndWeeks+DATE(CalendarYear,1,1)-WEEKDAY(DATE(CalendarYear,1,1),(WeekStart="M")+1)+8</f>
        <v>44934</v>
      </c>
      <c r="D8" s="158">
        <v>44935</v>
      </c>
      <c r="E8" s="158">
        <v>44936</v>
      </c>
      <c r="F8" s="158">
        <v>44937</v>
      </c>
      <c r="G8" s="158">
        <v>44938</v>
      </c>
      <c r="H8" s="120">
        <v>44939</v>
      </c>
      <c r="I8" s="26">
        <v>44940</v>
      </c>
    </row>
    <row r="9" spans="2:9" s="6" customFormat="1" ht="75" customHeight="1" x14ac:dyDescent="0.15">
      <c r="B9" s="81"/>
      <c r="C9" s="130"/>
      <c r="D9" s="11"/>
      <c r="E9" s="131"/>
      <c r="F9" s="163" t="s">
        <v>5</v>
      </c>
      <c r="G9" s="133"/>
      <c r="H9" s="8"/>
      <c r="I9" s="9"/>
    </row>
    <row r="10" spans="2:9" s="35" customFormat="1" ht="25" customHeight="1" x14ac:dyDescent="0.2">
      <c r="B10" s="83"/>
      <c r="C10" s="23">
        <f t="array" ref="C10:I10">DaysAndWeeks+DATE(CalendarYear,1,1)-WEEKDAY(DATE(CalendarYear,1,1),(WeekStart="M")+1)+15</f>
        <v>44941</v>
      </c>
      <c r="D10" s="24">
        <v>44942</v>
      </c>
      <c r="E10" s="24">
        <v>44943</v>
      </c>
      <c r="F10" s="24">
        <v>44944</v>
      </c>
      <c r="G10" s="27">
        <v>44945</v>
      </c>
      <c r="H10" s="28">
        <v>44946</v>
      </c>
      <c r="I10" s="26">
        <v>44947</v>
      </c>
    </row>
    <row r="11" spans="2:9" s="6" customFormat="1" ht="75" customHeight="1" x14ac:dyDescent="0.15">
      <c r="B11" s="81"/>
      <c r="C11" s="130">
        <v>0.625</v>
      </c>
      <c r="D11" s="11"/>
      <c r="E11" s="131"/>
      <c r="F11" s="163" t="s">
        <v>5</v>
      </c>
      <c r="G11" s="132">
        <v>0.625</v>
      </c>
      <c r="H11" s="10"/>
      <c r="I11" s="162" t="s">
        <v>5</v>
      </c>
    </row>
    <row r="12" spans="2:9" s="35" customFormat="1" ht="25" customHeight="1" x14ac:dyDescent="0.2">
      <c r="B12" s="83"/>
      <c r="C12" s="23">
        <f t="array" ref="C12:I12">DaysAndWeeks+DATE(CalendarYear,1,1)-WEEKDAY(DATE(CalendarYear,1,1),(WeekStart="M")+1)+22</f>
        <v>44948</v>
      </c>
      <c r="D12" s="24">
        <v>44949</v>
      </c>
      <c r="E12" s="24">
        <v>44950</v>
      </c>
      <c r="F12" s="24">
        <v>44951</v>
      </c>
      <c r="G12" s="24">
        <v>44952</v>
      </c>
      <c r="H12" s="25">
        <v>44953</v>
      </c>
      <c r="I12" s="26">
        <v>44954</v>
      </c>
    </row>
    <row r="13" spans="2:9" s="6" customFormat="1" ht="75" customHeight="1" x14ac:dyDescent="0.15">
      <c r="B13" s="81"/>
      <c r="C13" s="130"/>
      <c r="D13" s="11"/>
      <c r="E13" s="131"/>
      <c r="F13" s="163" t="s">
        <v>5</v>
      </c>
      <c r="G13" s="133"/>
      <c r="H13" s="8"/>
      <c r="I13" s="9"/>
    </row>
    <row r="14" spans="2:9" s="35" customFormat="1" ht="25" customHeight="1" x14ac:dyDescent="0.2">
      <c r="B14" s="83"/>
      <c r="C14" s="23">
        <f t="array" ref="C14:I14">DaysAndWeeks+DATE(CalendarYear,1,1)-WEEKDAY(DATE(CalendarYear,1,1),(WeekStart="M")+1)+29</f>
        <v>44955</v>
      </c>
      <c r="D14" s="24">
        <v>44956</v>
      </c>
      <c r="E14" s="24">
        <v>44957</v>
      </c>
      <c r="F14" s="24">
        <v>44958</v>
      </c>
      <c r="G14" s="24">
        <v>44959</v>
      </c>
      <c r="H14" s="25">
        <v>44960</v>
      </c>
      <c r="I14" s="26">
        <v>44961</v>
      </c>
    </row>
    <row r="15" spans="2:9" s="6" customFormat="1" ht="75" customHeight="1" x14ac:dyDescent="0.15">
      <c r="B15" s="81"/>
      <c r="C15" s="130">
        <v>0.625</v>
      </c>
      <c r="D15" s="11"/>
      <c r="E15" s="131"/>
      <c r="F15" s="163" t="s">
        <v>5</v>
      </c>
      <c r="G15" s="134"/>
      <c r="H15" s="7"/>
      <c r="I15" s="162" t="s">
        <v>5</v>
      </c>
    </row>
    <row r="16" spans="2:9" s="35" customFormat="1" ht="25" customHeight="1" x14ac:dyDescent="0.2">
      <c r="B16" s="83"/>
      <c r="C16" s="135">
        <f t="array" ref="C16:I16">DaysAndWeeks+DATE(CalendarYear,1,1)-WEEKDAY(DATE(CalendarYear,1,1),(WeekStart="M")+1)+36</f>
        <v>44962</v>
      </c>
      <c r="D16" s="25">
        <v>44963</v>
      </c>
      <c r="E16" s="29">
        <v>44964</v>
      </c>
      <c r="F16" s="29">
        <v>44965</v>
      </c>
      <c r="G16" s="29">
        <v>44966</v>
      </c>
      <c r="H16" s="29">
        <v>44967</v>
      </c>
      <c r="I16" s="30">
        <v>44968</v>
      </c>
    </row>
    <row r="17" spans="2:9" s="6" customFormat="1" ht="75" customHeight="1" x14ac:dyDescent="0.2">
      <c r="B17" s="81"/>
      <c r="C17" s="136">
        <v>0.625</v>
      </c>
      <c r="D17" s="129"/>
      <c r="E17" s="4"/>
      <c r="F17" s="4"/>
      <c r="G17" s="4"/>
      <c r="H17" s="4"/>
      <c r="I17" s="5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0" priority="6">
      <formula>DAY(C6)&gt;8</formula>
    </cfRule>
  </conditionalFormatting>
  <conditionalFormatting sqref="C14:I14 C18 C16:I16 D17:I17">
    <cfRule type="expression" dxfId="39" priority="4">
      <formula>AND(DAY(C14)&gt;=1,DAY(C14)&lt;=15)</formula>
    </cfRule>
  </conditionalFormatting>
  <conditionalFormatting sqref="C8:H8">
    <cfRule type="expression" dxfId="38" priority="2">
      <formula>DAY(C8)&gt;8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51"/>
      <c r="D3" s="32"/>
      <c r="E3" s="32"/>
      <c r="F3" s="32"/>
      <c r="G3" s="51" t="s">
        <v>7</v>
      </c>
      <c r="H3" s="51" t="s">
        <v>8</v>
      </c>
      <c r="I3" s="95"/>
    </row>
    <row r="4" spans="2:9" ht="75" customHeight="1" x14ac:dyDescent="0.65">
      <c r="B4" s="82"/>
      <c r="C4" s="156">
        <f>CalendarYear</f>
        <v>2023</v>
      </c>
      <c r="D4" s="182" t="s">
        <v>9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53">
        <f t="array" ref="C6:I6">DaysAndWeeks+DATE(CalendarYear,2,1)-WEEKDAY(DATE(CalendarYear,2,1),(WeekStart="M")+1)+1</f>
        <v>44955</v>
      </c>
      <c r="D6" s="43">
        <v>44956</v>
      </c>
      <c r="E6" s="120">
        <v>44957</v>
      </c>
      <c r="F6" s="120">
        <v>44958</v>
      </c>
      <c r="G6" s="120">
        <v>44959</v>
      </c>
      <c r="H6" s="120">
        <v>44960</v>
      </c>
      <c r="I6" s="121">
        <v>44961</v>
      </c>
    </row>
    <row r="7" spans="2:9" s="6" customFormat="1" ht="75" customHeight="1" x14ac:dyDescent="0.15">
      <c r="B7" s="81"/>
      <c r="C7" s="164" t="s">
        <v>5</v>
      </c>
      <c r="D7" s="34"/>
      <c r="E7" s="137"/>
      <c r="F7" s="165" t="s">
        <v>5</v>
      </c>
      <c r="G7" s="138"/>
      <c r="H7" s="122"/>
      <c r="I7" s="166" t="s">
        <v>5</v>
      </c>
    </row>
    <row r="8" spans="2:9" s="37" customFormat="1" ht="25" customHeight="1" x14ac:dyDescent="0.2">
      <c r="B8" s="85"/>
      <c r="C8" s="125">
        <f t="array" ref="C8:I8">DaysAndWeeks+DATE(CalendarYear,2,1)-WEEKDAY(DATE(CalendarYear,2,1),(WeekStart="M")+1)+8</f>
        <v>44962</v>
      </c>
      <c r="D8" s="120">
        <v>44963</v>
      </c>
      <c r="E8" s="123">
        <v>44964</v>
      </c>
      <c r="F8" s="123">
        <v>44965</v>
      </c>
      <c r="G8" s="123">
        <v>44966</v>
      </c>
      <c r="H8" s="123">
        <v>44967</v>
      </c>
      <c r="I8" s="121">
        <v>44968</v>
      </c>
    </row>
    <row r="9" spans="2:9" s="58" customFormat="1" ht="75" customHeight="1" x14ac:dyDescent="0.15">
      <c r="B9" s="90"/>
      <c r="C9" s="139"/>
      <c r="D9" s="57"/>
      <c r="E9" s="140"/>
      <c r="F9" s="167" t="s">
        <v>5</v>
      </c>
      <c r="G9" s="140"/>
      <c r="H9" s="124"/>
      <c r="I9" s="91"/>
    </row>
    <row r="10" spans="2:9" s="37" customFormat="1" ht="25" customHeight="1" x14ac:dyDescent="0.2">
      <c r="B10" s="85"/>
      <c r="C10" s="125">
        <f t="array" ref="C10:I10">DaysAndWeeks+DATE(CalendarYear,2,1)-WEEKDAY(DATE(CalendarYear,2,1),(WeekStart="M")+1)+15</f>
        <v>44969</v>
      </c>
      <c r="D10" s="120">
        <v>44970</v>
      </c>
      <c r="E10" s="120">
        <v>44971</v>
      </c>
      <c r="F10" s="120">
        <v>44972</v>
      </c>
      <c r="G10" s="120">
        <v>44973</v>
      </c>
      <c r="H10" s="120">
        <v>44974</v>
      </c>
      <c r="I10" s="121">
        <v>44975</v>
      </c>
    </row>
    <row r="11" spans="2:9" s="58" customFormat="1" ht="75" customHeight="1" x14ac:dyDescent="0.15">
      <c r="B11" s="90"/>
      <c r="C11" s="139">
        <v>0.625</v>
      </c>
      <c r="D11" s="149"/>
      <c r="E11" s="141"/>
      <c r="F11" s="149"/>
      <c r="G11" s="141"/>
      <c r="H11" s="57"/>
      <c r="I11" s="168" t="s">
        <v>5</v>
      </c>
    </row>
    <row r="12" spans="2:9" s="35" customFormat="1" ht="25" customHeight="1" x14ac:dyDescent="0.2">
      <c r="B12" s="83"/>
      <c r="C12" s="125">
        <f t="array" ref="C12:I12">DaysAndWeeks+DATE(CalendarYear,2,1)-WEEKDAY(DATE(CalendarYear,2,1),(WeekStart="M")+1)+22</f>
        <v>44976</v>
      </c>
      <c r="D12" s="120">
        <v>44977</v>
      </c>
      <c r="E12" s="120">
        <v>44978</v>
      </c>
      <c r="F12" s="120">
        <v>44979</v>
      </c>
      <c r="G12" s="120">
        <v>44980</v>
      </c>
      <c r="H12" s="120">
        <v>44981</v>
      </c>
      <c r="I12" s="121">
        <v>44982</v>
      </c>
    </row>
    <row r="13" spans="2:9" s="58" customFormat="1" ht="75" customHeight="1" x14ac:dyDescent="0.15">
      <c r="B13" s="90"/>
      <c r="C13" s="139"/>
      <c r="D13" s="57"/>
      <c r="E13" s="141"/>
      <c r="F13" s="149" t="s">
        <v>5</v>
      </c>
      <c r="G13" s="141"/>
      <c r="H13" s="57"/>
      <c r="I13" s="91"/>
    </row>
    <row r="14" spans="2:9" s="35" customFormat="1" ht="25" customHeight="1" x14ac:dyDescent="0.2">
      <c r="B14" s="83"/>
      <c r="C14" s="125">
        <f t="array" ref="C14:I14">DaysAndWeeks+DATE(CalendarYear,2,1)-WEEKDAY(DATE(CalendarYear,2,1),(WeekStart="M")+1)+29</f>
        <v>44983</v>
      </c>
      <c r="D14" s="120">
        <v>44984</v>
      </c>
      <c r="E14" s="42">
        <v>44985</v>
      </c>
      <c r="F14" s="42">
        <v>44986</v>
      </c>
      <c r="G14" s="42">
        <v>44987</v>
      </c>
      <c r="H14" s="42">
        <v>44988</v>
      </c>
      <c r="I14" s="92">
        <v>44989</v>
      </c>
    </row>
    <row r="15" spans="2:9" s="58" customFormat="1" ht="75" customHeight="1" x14ac:dyDescent="0.15">
      <c r="B15" s="90"/>
      <c r="C15" s="139">
        <v>0.625</v>
      </c>
      <c r="D15" s="57"/>
      <c r="E15" s="105"/>
      <c r="F15" s="61"/>
      <c r="G15" s="61"/>
      <c r="H15" s="61"/>
      <c r="I15" s="93"/>
    </row>
    <row r="16" spans="2:9" s="35" customFormat="1" ht="25" customHeight="1" x14ac:dyDescent="0.2">
      <c r="B16" s="83"/>
      <c r="C16" s="89">
        <f t="array" ref="C16:I16">DaysAndWeeks+DATE(CalendarYear,2,1)-WEEKDAY(DATE(CalendarYear,2,1),(WeekStart="M")+1)+36</f>
        <v>44990</v>
      </c>
      <c r="D16" s="41">
        <v>44991</v>
      </c>
      <c r="E16" s="41">
        <v>44992</v>
      </c>
      <c r="F16" s="41">
        <v>44993</v>
      </c>
      <c r="G16" s="41">
        <v>44994</v>
      </c>
      <c r="H16" s="41">
        <v>44995</v>
      </c>
      <c r="I16" s="94">
        <v>44996</v>
      </c>
    </row>
    <row r="17" spans="2:9" s="6" customFormat="1" ht="75" customHeight="1" x14ac:dyDescent="0.15">
      <c r="B17" s="81"/>
      <c r="C17" s="52"/>
      <c r="D17" s="3"/>
      <c r="E17" s="3"/>
      <c r="F17" s="3"/>
      <c r="G17" s="3"/>
      <c r="H17" s="3"/>
      <c r="I17" s="101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E6:I6">
    <cfRule type="expression" dxfId="37" priority="7">
      <formula>DAY(E6)&gt;8</formula>
    </cfRule>
  </conditionalFormatting>
  <conditionalFormatting sqref="C14:I14 C16:I16 C15:D15 F15:I15">
    <cfRule type="expression" dxfId="36" priority="6">
      <formula>AND(DAY(C14)&gt;=1,DAY(C14)&lt;=15)</formula>
    </cfRule>
  </conditionalFormatting>
  <conditionalFormatting sqref="C6:D6">
    <cfRule type="expression" dxfId="35" priority="5">
      <formula>DAY(C6)&gt;8</formula>
    </cfRule>
  </conditionalFormatting>
  <conditionalFormatting sqref="C8">
    <cfRule type="expression" dxfId="34" priority="4">
      <formula>DAY(C8)&gt;8</formula>
    </cfRule>
  </conditionalFormatting>
  <conditionalFormatting sqref="D8:E8">
    <cfRule type="expression" dxfId="33" priority="3">
      <formula>DAY(D8)&gt;8</formula>
    </cfRule>
  </conditionalFormatting>
  <conditionalFormatting sqref="C18">
    <cfRule type="expression" dxfId="32" priority="2">
      <formula>AND(DAY(C18)&gt;=1,DAY(C18)&lt;=15)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33"/>
      <c r="D3" s="31"/>
      <c r="E3" s="31"/>
      <c r="F3" s="32"/>
      <c r="G3" s="51" t="s">
        <v>10</v>
      </c>
      <c r="H3" s="51" t="s">
        <v>11</v>
      </c>
      <c r="I3" s="100"/>
    </row>
    <row r="4" spans="2:9" ht="75" customHeight="1" x14ac:dyDescent="0.65">
      <c r="B4" s="82"/>
      <c r="C4" s="156">
        <f>CalendarYear</f>
        <v>2023</v>
      </c>
      <c r="D4" s="182" t="s">
        <v>12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70">
        <f t="array" ref="C6:I6">DaysAndWeeks+DATE(CalendarYear,3,1)-WEEKDAY(DATE(CalendarYear,3,1),(WeekStart="M")+1)+1</f>
        <v>44983</v>
      </c>
      <c r="D6" s="38">
        <v>44984</v>
      </c>
      <c r="E6" s="36">
        <v>44985</v>
      </c>
      <c r="F6" s="36">
        <v>44986</v>
      </c>
      <c r="G6" s="36">
        <v>44987</v>
      </c>
      <c r="H6" s="36">
        <v>44988</v>
      </c>
      <c r="I6" s="75">
        <v>44989</v>
      </c>
    </row>
    <row r="7" spans="2:9" s="58" customFormat="1" ht="75" customHeight="1" x14ac:dyDescent="0.15">
      <c r="B7" s="90"/>
      <c r="C7" s="169" t="s">
        <v>5</v>
      </c>
      <c r="D7" s="60"/>
      <c r="E7" s="141"/>
      <c r="F7" s="149" t="s">
        <v>5</v>
      </c>
      <c r="G7" s="141"/>
      <c r="H7" s="57"/>
      <c r="I7" s="168" t="s">
        <v>5</v>
      </c>
    </row>
    <row r="8" spans="2:9" s="35" customFormat="1" ht="25" customHeight="1" x14ac:dyDescent="0.2">
      <c r="B8" s="83"/>
      <c r="C8" s="39">
        <f t="array" ref="C8:I8">DaysAndWeeks+DATE(CalendarYear,3,1)-WEEKDAY(DATE(CalendarYear,3,1),(WeekStart="M")+1)+8</f>
        <v>44990</v>
      </c>
      <c r="D8" s="36">
        <v>44991</v>
      </c>
      <c r="E8" s="36">
        <v>44992</v>
      </c>
      <c r="F8" s="36">
        <v>44993</v>
      </c>
      <c r="G8" s="39">
        <v>44994</v>
      </c>
      <c r="H8" s="36">
        <v>44995</v>
      </c>
      <c r="I8" s="75">
        <v>44996</v>
      </c>
    </row>
    <row r="9" spans="2:9" s="58" customFormat="1" ht="75" customHeight="1" x14ac:dyDescent="0.15">
      <c r="B9" s="90"/>
      <c r="C9" s="139"/>
      <c r="D9" s="57"/>
      <c r="E9" s="141"/>
      <c r="F9" s="149" t="s">
        <v>5</v>
      </c>
      <c r="G9" s="142"/>
      <c r="H9" s="57"/>
      <c r="I9" s="91"/>
    </row>
    <row r="10" spans="2:9" s="35" customFormat="1" ht="25" customHeight="1" x14ac:dyDescent="0.2">
      <c r="B10" s="83"/>
      <c r="C10" s="39">
        <f t="array" ref="C10:I10">DaysAndWeeks+DATE(CalendarYear,3,1)-WEEKDAY(DATE(CalendarYear,3,1),(WeekStart="M")+1)+15</f>
        <v>44997</v>
      </c>
      <c r="D10" s="36">
        <v>44998</v>
      </c>
      <c r="E10" s="36">
        <v>44999</v>
      </c>
      <c r="F10" s="36">
        <v>45000</v>
      </c>
      <c r="G10" s="36">
        <v>45001</v>
      </c>
      <c r="H10" s="36">
        <v>45002</v>
      </c>
      <c r="I10" s="75">
        <v>45003</v>
      </c>
    </row>
    <row r="11" spans="2:9" s="58" customFormat="1" ht="75" customHeight="1" x14ac:dyDescent="0.15">
      <c r="B11" s="90"/>
      <c r="C11" s="139">
        <v>0.625</v>
      </c>
      <c r="D11" s="57"/>
      <c r="E11" s="141"/>
      <c r="F11" s="149" t="s">
        <v>5</v>
      </c>
      <c r="G11" s="59"/>
      <c r="H11" s="57"/>
      <c r="I11" s="168" t="s">
        <v>5</v>
      </c>
    </row>
    <row r="12" spans="2:9" s="35" customFormat="1" ht="25" customHeight="1" x14ac:dyDescent="0.2">
      <c r="B12" s="83"/>
      <c r="C12" s="39">
        <f t="array" ref="C12:I12">DaysAndWeeks+DATE(CalendarYear,3,1)-WEEKDAY(DATE(CalendarYear,3,1),(WeekStart="M")+1)+22</f>
        <v>45004</v>
      </c>
      <c r="D12" s="36">
        <v>45005</v>
      </c>
      <c r="E12" s="36">
        <v>45006</v>
      </c>
      <c r="F12" s="36">
        <v>45007</v>
      </c>
      <c r="G12" s="36">
        <v>45008</v>
      </c>
      <c r="H12" s="40">
        <v>45009</v>
      </c>
      <c r="I12" s="96">
        <v>45010</v>
      </c>
    </row>
    <row r="13" spans="2:9" s="58" customFormat="1" ht="75" customHeight="1" x14ac:dyDescent="0.15">
      <c r="B13" s="90"/>
      <c r="C13" s="139"/>
      <c r="D13" s="57"/>
      <c r="E13" s="141"/>
      <c r="F13" s="149" t="s">
        <v>5</v>
      </c>
      <c r="G13" s="141"/>
      <c r="H13" s="57"/>
      <c r="I13" s="91"/>
    </row>
    <row r="14" spans="2:9" s="35" customFormat="1" ht="25" customHeight="1" x14ac:dyDescent="0.2">
      <c r="B14" s="83"/>
      <c r="C14" s="47">
        <f t="array" ref="C14:I14">DaysAndWeeks+DATE(CalendarYear,3,1)-WEEKDAY(DATE(CalendarYear,3,1),(WeekStart="M")+1)+29</f>
        <v>45011</v>
      </c>
      <c r="D14" s="36">
        <v>45012</v>
      </c>
      <c r="E14" s="36">
        <v>45013</v>
      </c>
      <c r="F14" s="36">
        <v>45014</v>
      </c>
      <c r="G14" s="47">
        <v>45015</v>
      </c>
      <c r="H14" s="45">
        <v>45016</v>
      </c>
      <c r="I14" s="77">
        <v>45017</v>
      </c>
    </row>
    <row r="15" spans="2:9" s="58" customFormat="1" ht="75" customHeight="1" x14ac:dyDescent="0.15">
      <c r="B15" s="90"/>
      <c r="C15" s="139">
        <v>0.625</v>
      </c>
      <c r="D15" s="57"/>
      <c r="E15" s="141"/>
      <c r="F15" s="149" t="s">
        <v>5</v>
      </c>
      <c r="G15" s="139"/>
      <c r="H15" s="62"/>
      <c r="I15" s="97"/>
    </row>
    <row r="16" spans="2:9" s="35" customFormat="1" ht="25" customHeight="1" x14ac:dyDescent="0.2">
      <c r="B16" s="83"/>
      <c r="C16" s="45">
        <f t="array" ref="C16:I16">DaysAndWeeks+DATE(CalendarYear,3,1)-WEEKDAY(DATE(CalendarYear,3,1),(WeekStart="M")+1)+36</f>
        <v>45018</v>
      </c>
      <c r="D16" s="38">
        <v>45019</v>
      </c>
      <c r="E16" s="38">
        <v>45020</v>
      </c>
      <c r="F16" s="38">
        <v>45021</v>
      </c>
      <c r="G16" s="38">
        <v>45022</v>
      </c>
      <c r="H16" s="38">
        <v>45023</v>
      </c>
      <c r="I16" s="77">
        <v>45024</v>
      </c>
    </row>
    <row r="17" spans="2:9" s="6" customFormat="1" ht="75" customHeight="1" x14ac:dyDescent="0.15">
      <c r="B17" s="81"/>
      <c r="C17" s="46"/>
      <c r="D17" s="44"/>
      <c r="E17" s="44"/>
      <c r="F17" s="44"/>
      <c r="G17" s="44"/>
      <c r="H17" s="44"/>
      <c r="I17" s="99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30" priority="4">
      <formula>DAY(C6)&gt;8</formula>
    </cfRule>
  </conditionalFormatting>
  <conditionalFormatting sqref="C14:I17">
    <cfRule type="expression" dxfId="29" priority="3">
      <formula>AND(DAY(C14)&gt;=1,DAY(C14)&lt;=15)</formula>
    </cfRule>
  </conditionalFormatting>
  <conditionalFormatting sqref="C18">
    <cfRule type="expression" dxfId="28" priority="2">
      <formula>AND(DAY(C18)&gt;=1,DAY(C18)&lt;=15)</formula>
    </cfRule>
  </conditionalFormatting>
  <conditionalFormatting sqref="C7">
    <cfRule type="expression" dxfId="27" priority="1">
      <formula>AND(DAY(C7)&gt;=1,DAY(C7)&lt;=15)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15">
      <c r="B3" s="82"/>
      <c r="C3" s="20"/>
      <c r="D3" s="20"/>
      <c r="E3" s="48"/>
      <c r="F3" s="48"/>
      <c r="G3" s="20" t="s">
        <v>13</v>
      </c>
      <c r="H3" s="20" t="s">
        <v>14</v>
      </c>
      <c r="I3" s="103"/>
    </row>
    <row r="4" spans="2:9" ht="75" customHeight="1" x14ac:dyDescent="0.65">
      <c r="B4" s="82"/>
      <c r="C4" s="156">
        <f>CalendarYear</f>
        <v>2023</v>
      </c>
      <c r="D4" s="186" t="s">
        <v>15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DaysAndWeeks+DATE(CalendarYear,4,1)-WEEKDAY(DATE(CalendarYear,4,1),(WeekStart="M")+1)+1</f>
        <v>45011</v>
      </c>
      <c r="D6" s="38">
        <v>45012</v>
      </c>
      <c r="E6" s="38">
        <v>45013</v>
      </c>
      <c r="F6" s="38">
        <v>45014</v>
      </c>
      <c r="G6" s="38">
        <v>45015</v>
      </c>
      <c r="H6" s="36">
        <v>45016</v>
      </c>
      <c r="I6" s="75">
        <v>45017</v>
      </c>
    </row>
    <row r="7" spans="2:9" s="58" customFormat="1" ht="75" customHeight="1" x14ac:dyDescent="0.15">
      <c r="B7" s="90"/>
      <c r="C7" s="62"/>
      <c r="D7" s="63"/>
      <c r="E7" s="63"/>
      <c r="F7" s="170" t="s">
        <v>5</v>
      </c>
      <c r="G7" s="143"/>
      <c r="H7" s="57"/>
      <c r="I7" s="168" t="s">
        <v>5</v>
      </c>
    </row>
    <row r="8" spans="2:9" s="35" customFormat="1" ht="25" customHeight="1" x14ac:dyDescent="0.2">
      <c r="B8" s="83"/>
      <c r="C8" s="39">
        <f t="array" ref="C8:I8">DaysAndWeeks+DATE(CalendarYear,4,1)-WEEKDAY(DATE(CalendarYear,4,1),(WeekStart="M")+1)+8</f>
        <v>45018</v>
      </c>
      <c r="D8" s="36">
        <v>45019</v>
      </c>
      <c r="E8" s="36">
        <v>45020</v>
      </c>
      <c r="F8" s="36">
        <v>45021</v>
      </c>
      <c r="G8" s="36">
        <v>45022</v>
      </c>
      <c r="H8" s="36">
        <v>45023</v>
      </c>
      <c r="I8" s="75">
        <v>45024</v>
      </c>
    </row>
    <row r="9" spans="2:9" s="58" customFormat="1" ht="75" customHeight="1" x14ac:dyDescent="0.15">
      <c r="B9" s="90"/>
      <c r="C9" s="144"/>
      <c r="D9" s="57"/>
      <c r="E9" s="141"/>
      <c r="F9" s="149" t="s">
        <v>5</v>
      </c>
      <c r="G9" s="144"/>
      <c r="H9" s="57"/>
      <c r="I9" s="91"/>
    </row>
    <row r="10" spans="2:9" s="35" customFormat="1" ht="25" customHeight="1" x14ac:dyDescent="0.2">
      <c r="B10" s="83"/>
      <c r="C10" s="39">
        <f t="array" ref="C10:I10">DaysAndWeeks+DATE(CalendarYear,4,1)-WEEKDAY(DATE(CalendarYear,4,1),(WeekStart="M")+1)+15</f>
        <v>45025</v>
      </c>
      <c r="D10" s="36">
        <v>45026</v>
      </c>
      <c r="E10" s="36">
        <v>45027</v>
      </c>
      <c r="F10" s="36">
        <v>45028</v>
      </c>
      <c r="G10" s="36">
        <v>45029</v>
      </c>
      <c r="H10" s="36">
        <v>45030</v>
      </c>
      <c r="I10" s="75">
        <v>45031</v>
      </c>
    </row>
    <row r="11" spans="2:9" s="58" customFormat="1" ht="75" customHeight="1" x14ac:dyDescent="0.15">
      <c r="B11" s="90"/>
      <c r="C11" s="139">
        <v>0.625</v>
      </c>
      <c r="D11" s="57"/>
      <c r="E11" s="141"/>
      <c r="F11" s="149" t="s">
        <v>5</v>
      </c>
      <c r="G11" s="59"/>
      <c r="H11" s="57"/>
      <c r="I11" s="168" t="s">
        <v>5</v>
      </c>
    </row>
    <row r="12" spans="2:9" s="35" customFormat="1" ht="25" customHeight="1" x14ac:dyDescent="0.2">
      <c r="B12" s="83"/>
      <c r="C12" s="39">
        <f t="array" ref="C12:I12">DaysAndWeeks+DATE(CalendarYear,4,1)-WEEKDAY(DATE(CalendarYear,4,1),(WeekStart="M")+1)+22</f>
        <v>45032</v>
      </c>
      <c r="D12" s="36">
        <v>45033</v>
      </c>
      <c r="E12" s="36">
        <v>45034</v>
      </c>
      <c r="F12" s="36">
        <v>45035</v>
      </c>
      <c r="G12" s="36">
        <v>45036</v>
      </c>
      <c r="H12" s="36">
        <v>45037</v>
      </c>
      <c r="I12" s="75">
        <v>45038</v>
      </c>
    </row>
    <row r="13" spans="2:9" s="58" customFormat="1" ht="75" customHeight="1" x14ac:dyDescent="0.15">
      <c r="B13" s="90"/>
      <c r="C13" s="144"/>
      <c r="D13" s="57"/>
      <c r="E13" s="141"/>
      <c r="F13" s="149" t="s">
        <v>5</v>
      </c>
      <c r="G13" s="144"/>
      <c r="H13" s="57"/>
      <c r="I13" s="91"/>
    </row>
    <row r="14" spans="2:9" s="35" customFormat="1" ht="25" customHeight="1" x14ac:dyDescent="0.2">
      <c r="B14" s="83"/>
      <c r="C14" s="39">
        <f t="array" ref="C14:I14">DaysAndWeeks+DATE(CalendarYear,4,1)-WEEKDAY(DATE(CalendarYear,4,1),(WeekStart="M")+1)+29</f>
        <v>45039</v>
      </c>
      <c r="D14" s="36">
        <v>45040</v>
      </c>
      <c r="E14" s="36">
        <v>45041</v>
      </c>
      <c r="F14" s="36">
        <v>45042</v>
      </c>
      <c r="G14" s="36">
        <v>45043</v>
      </c>
      <c r="H14" s="36">
        <v>45044</v>
      </c>
      <c r="I14" s="75">
        <v>45045</v>
      </c>
    </row>
    <row r="15" spans="2:9" s="58" customFormat="1" ht="75" customHeight="1" x14ac:dyDescent="0.15">
      <c r="B15" s="90"/>
      <c r="C15" s="139">
        <v>0.625</v>
      </c>
      <c r="D15" s="57"/>
      <c r="E15" s="144"/>
      <c r="F15" s="149" t="s">
        <v>5</v>
      </c>
      <c r="G15" s="141"/>
      <c r="H15" s="57"/>
      <c r="I15" s="168" t="s">
        <v>5</v>
      </c>
    </row>
    <row r="16" spans="2:9" s="35" customFormat="1" ht="25" customHeight="1" x14ac:dyDescent="0.2">
      <c r="B16" s="83"/>
      <c r="C16" s="54">
        <f t="array" ref="C16:I16">DaysAndWeeks+DATE(CalendarYear,4,1)-WEEKDAY(DATE(CalendarYear,4,1),(WeekStart="M")+1)+36</f>
        <v>45046</v>
      </c>
      <c r="D16" s="55">
        <v>45047</v>
      </c>
      <c r="E16" s="55">
        <v>45048</v>
      </c>
      <c r="F16" s="55">
        <v>45049</v>
      </c>
      <c r="G16" s="55">
        <v>45050</v>
      </c>
      <c r="H16" s="55">
        <v>45051</v>
      </c>
      <c r="I16" s="102">
        <v>45052</v>
      </c>
    </row>
    <row r="17" spans="2:9" s="6" customFormat="1" ht="75" customHeight="1" x14ac:dyDescent="0.15">
      <c r="B17" s="81"/>
      <c r="C17" s="98"/>
      <c r="D17" s="44"/>
      <c r="E17" s="44"/>
      <c r="F17" s="44"/>
      <c r="G17" s="44"/>
      <c r="H17" s="44"/>
      <c r="I17" s="99"/>
    </row>
    <row r="18" spans="2:9" ht="125" customHeight="1" thickBot="1" x14ac:dyDescent="0.2">
      <c r="B18" s="82"/>
      <c r="C18" s="183" t="s">
        <v>6</v>
      </c>
      <c r="D18" s="184"/>
      <c r="E18" s="184"/>
      <c r="F18" s="184"/>
      <c r="G18" s="184"/>
      <c r="H18" s="184"/>
      <c r="I18" s="185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6" priority="3">
      <formula>DAY(C6)&gt;8</formula>
    </cfRule>
  </conditionalFormatting>
  <conditionalFormatting sqref="C14:I14 C16:I17 D15 F15:I15">
    <cfRule type="expression" dxfId="25" priority="2">
      <formula>AND(DAY(C14)&gt;=1,DAY(C14)&lt;=15)</formula>
    </cfRule>
  </conditionalFormatting>
  <conditionalFormatting sqref="C18">
    <cfRule type="expression" dxfId="24" priority="1">
      <formula>AND(DAY(C18)&gt;=1,DAY(C18)&lt;=15)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31"/>
      <c r="G3" s="20" t="s">
        <v>16</v>
      </c>
      <c r="H3" s="20" t="s">
        <v>17</v>
      </c>
      <c r="I3" s="86"/>
    </row>
    <row r="4" spans="2:9" ht="75" customHeight="1" x14ac:dyDescent="0.65">
      <c r="B4" s="82"/>
      <c r="C4" s="156">
        <f>CalendarYear</f>
        <v>2023</v>
      </c>
      <c r="D4" s="186" t="s">
        <v>18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128">
        <f t="array" ref="C6:I6">DaysAndWeeks+DATE(CalendarYear,5,1)-WEEKDAY(DATE(CalendarYear,5,1),(WeekStart="M")+1)+1</f>
        <v>45046</v>
      </c>
      <c r="D6" s="120">
        <v>45047</v>
      </c>
      <c r="E6" s="126">
        <v>45048</v>
      </c>
      <c r="F6" s="126">
        <v>45049</v>
      </c>
      <c r="G6" s="126">
        <v>45050</v>
      </c>
      <c r="H6" s="126">
        <v>45051</v>
      </c>
      <c r="I6" s="127">
        <v>45052</v>
      </c>
    </row>
    <row r="7" spans="2:9" s="58" customFormat="1" ht="75" customHeight="1" x14ac:dyDescent="0.15">
      <c r="B7" s="90"/>
      <c r="C7" s="145">
        <v>0.625</v>
      </c>
      <c r="D7" s="12"/>
      <c r="E7" s="146"/>
      <c r="F7" s="149" t="s">
        <v>5</v>
      </c>
      <c r="G7" s="146"/>
      <c r="H7" s="57"/>
      <c r="I7" s="91"/>
    </row>
    <row r="8" spans="2:9" s="37" customFormat="1" ht="25" customHeight="1" x14ac:dyDescent="0.2">
      <c r="B8" s="85"/>
      <c r="C8" s="125">
        <f t="array" ref="C8:I8">DaysAndWeeks+DATE(CalendarYear,5,1)-WEEKDAY(DATE(CalendarYear,5,1),(WeekStart="M")+1)+8</f>
        <v>45053</v>
      </c>
      <c r="D8" s="120">
        <v>45054</v>
      </c>
      <c r="E8" s="120">
        <v>45055</v>
      </c>
      <c r="F8" s="120">
        <v>45056</v>
      </c>
      <c r="G8" s="120">
        <v>45057</v>
      </c>
      <c r="H8" s="120">
        <v>45058</v>
      </c>
      <c r="I8" s="121">
        <v>45059</v>
      </c>
    </row>
    <row r="9" spans="2:9" s="58" customFormat="1" ht="75" customHeight="1" x14ac:dyDescent="0.15">
      <c r="B9" s="90"/>
      <c r="C9" s="144">
        <v>0.625</v>
      </c>
      <c r="D9" s="57"/>
      <c r="E9" s="146"/>
      <c r="F9" s="149" t="s">
        <v>5</v>
      </c>
      <c r="G9" s="146"/>
      <c r="H9" s="57"/>
      <c r="I9" s="168" t="s">
        <v>5</v>
      </c>
    </row>
    <row r="10" spans="2:9" s="37" customFormat="1" ht="25" customHeight="1" x14ac:dyDescent="0.2">
      <c r="B10" s="85"/>
      <c r="C10" s="125">
        <f t="array" ref="C10:I10">DaysAndWeeks+DATE(CalendarYear,5,1)-WEEKDAY(DATE(CalendarYear,5,1),(WeekStart="M")+1)+15</f>
        <v>45060</v>
      </c>
      <c r="D10" s="120">
        <v>45061</v>
      </c>
      <c r="E10" s="120">
        <v>45062</v>
      </c>
      <c r="F10" s="128">
        <v>45063</v>
      </c>
      <c r="G10" s="120">
        <v>45064</v>
      </c>
      <c r="H10" s="120">
        <v>45065</v>
      </c>
      <c r="I10" s="121">
        <v>45066</v>
      </c>
    </row>
    <row r="11" spans="2:9" s="58" customFormat="1" ht="75" customHeight="1" x14ac:dyDescent="0.15">
      <c r="B11" s="90"/>
      <c r="C11" s="144"/>
      <c r="D11" s="57"/>
      <c r="E11" s="146"/>
      <c r="F11" s="171" t="s">
        <v>5</v>
      </c>
      <c r="G11" s="146"/>
      <c r="H11" s="57"/>
      <c r="I11" s="91"/>
    </row>
    <row r="12" spans="2:9" s="37" customFormat="1" ht="25" customHeight="1" x14ac:dyDescent="0.2">
      <c r="B12" s="85"/>
      <c r="C12" s="125">
        <f t="array" ref="C12:I12">DaysAndWeeks+DATE(CalendarYear,5,1)-WEEKDAY(DATE(CalendarYear,5,1),(WeekStart="M")+1)+22</f>
        <v>45067</v>
      </c>
      <c r="D12" s="120">
        <v>45068</v>
      </c>
      <c r="E12" s="120">
        <v>45069</v>
      </c>
      <c r="F12" s="120">
        <v>45070</v>
      </c>
      <c r="G12" s="120">
        <v>45071</v>
      </c>
      <c r="H12" s="120">
        <v>45072</v>
      </c>
      <c r="I12" s="121">
        <v>45073</v>
      </c>
    </row>
    <row r="13" spans="2:9" s="58" customFormat="1" ht="75" customHeight="1" x14ac:dyDescent="0.15">
      <c r="B13" s="90"/>
      <c r="C13" s="144">
        <v>0.625</v>
      </c>
      <c r="D13" s="57"/>
      <c r="E13" s="146"/>
      <c r="F13" s="149" t="s">
        <v>5</v>
      </c>
      <c r="G13" s="146"/>
      <c r="H13" s="57"/>
      <c r="I13" s="168" t="s">
        <v>5</v>
      </c>
    </row>
    <row r="14" spans="2:9" s="37" customFormat="1" ht="25" customHeight="1" x14ac:dyDescent="0.2">
      <c r="B14" s="85"/>
      <c r="C14" s="125">
        <f t="array" ref="C14:I14">DaysAndWeeks+DATE(CalendarYear,5,1)-WEEKDAY(DATE(CalendarYear,5,1),(WeekStart="M")+1)+29</f>
        <v>45074</v>
      </c>
      <c r="D14" s="120">
        <v>45075</v>
      </c>
      <c r="E14" s="120">
        <v>45076</v>
      </c>
      <c r="F14" s="120">
        <v>45077</v>
      </c>
      <c r="G14" s="38">
        <v>45078</v>
      </c>
      <c r="H14" s="38">
        <v>45079</v>
      </c>
      <c r="I14" s="77">
        <v>45080</v>
      </c>
    </row>
    <row r="15" spans="2:9" s="58" customFormat="1" ht="75" customHeight="1" x14ac:dyDescent="0.15">
      <c r="B15" s="90"/>
      <c r="C15" s="144"/>
      <c r="D15" s="149"/>
      <c r="E15" s="146"/>
      <c r="F15" s="149" t="s">
        <v>5</v>
      </c>
      <c r="G15" s="60"/>
      <c r="H15" s="60"/>
      <c r="I15" s="97"/>
    </row>
    <row r="16" spans="2:9" s="35" customFormat="1" ht="25" customHeight="1" x14ac:dyDescent="0.2">
      <c r="B16" s="83"/>
      <c r="C16" s="45">
        <f t="array" ref="C16:I16">DaysAndWeeks+DATE(CalendarYear,5,1)-WEEKDAY(DATE(CalendarYear,5,1),(WeekStart="M")+1)+36</f>
        <v>45081</v>
      </c>
      <c r="D16" s="38">
        <v>45082</v>
      </c>
      <c r="E16" s="38">
        <v>45083</v>
      </c>
      <c r="F16" s="38">
        <v>45084</v>
      </c>
      <c r="G16" s="38">
        <v>45085</v>
      </c>
      <c r="H16" s="38">
        <v>45086</v>
      </c>
      <c r="I16" s="77">
        <v>45087</v>
      </c>
    </row>
    <row r="17" spans="2:9" ht="75" customHeight="1" x14ac:dyDescent="0.15">
      <c r="B17" s="82"/>
      <c r="C17" s="50"/>
      <c r="D17" s="49"/>
      <c r="E17" s="49"/>
      <c r="F17" s="49"/>
      <c r="G17" s="49"/>
      <c r="H17" s="49"/>
      <c r="I17" s="104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3" priority="3">
      <formula>DAY(C6)&gt;8</formula>
    </cfRule>
  </conditionalFormatting>
  <conditionalFormatting sqref="C14:I17">
    <cfRule type="expression" dxfId="22" priority="2">
      <formula>AND(DAY(C14)&gt;=1,DAY(C14)&lt;=15)</formula>
    </cfRule>
  </conditionalFormatting>
  <conditionalFormatting sqref="C18">
    <cfRule type="expression" dxfId="21" priority="1">
      <formula>AND(DAY(C18)&gt;=1,DAY(C18)&lt;=15)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19</v>
      </c>
      <c r="H3" s="20" t="s">
        <v>20</v>
      </c>
      <c r="I3" s="86"/>
    </row>
    <row r="4" spans="2:9" ht="75" customHeight="1" x14ac:dyDescent="0.65">
      <c r="B4" s="82"/>
      <c r="C4" s="156">
        <f>CalendarYear</f>
        <v>2023</v>
      </c>
      <c r="D4" s="186" t="s">
        <v>21</v>
      </c>
      <c r="E4" s="186"/>
      <c r="F4" s="186"/>
      <c r="G4" s="186"/>
      <c r="H4" s="186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DaysAndWeeks+DATE(CalendarYear,6,1)-WEEKDAY(DATE(CalendarYear,6,1),(WeekStart="M")+1)+1</f>
        <v>45074</v>
      </c>
      <c r="D6" s="38">
        <v>45075</v>
      </c>
      <c r="E6" s="38">
        <v>45076</v>
      </c>
      <c r="F6" s="36">
        <v>45077</v>
      </c>
      <c r="G6" s="36">
        <v>45078</v>
      </c>
      <c r="H6" s="36">
        <v>45079</v>
      </c>
      <c r="I6" s="75">
        <v>45080</v>
      </c>
    </row>
    <row r="7" spans="2:9" s="73" customFormat="1" ht="75" customHeight="1" x14ac:dyDescent="0.15">
      <c r="B7" s="84"/>
      <c r="C7" s="74"/>
      <c r="D7" s="72"/>
      <c r="E7" s="148"/>
      <c r="F7" s="56"/>
      <c r="G7" s="147"/>
      <c r="H7" s="67"/>
      <c r="I7" s="76"/>
    </row>
    <row r="8" spans="2:9" s="37" customFormat="1" ht="25" customHeight="1" x14ac:dyDescent="0.2">
      <c r="B8" s="85"/>
      <c r="C8" s="39">
        <f t="array" ref="C8:I8">DaysAndWeeks+DATE(CalendarYear,6,1)-WEEKDAY(DATE(CalendarYear,6,1),(WeekStart="M")+1)+8</f>
        <v>45081</v>
      </c>
      <c r="D8" s="36">
        <v>45082</v>
      </c>
      <c r="E8" s="36">
        <v>45083</v>
      </c>
      <c r="F8" s="36">
        <v>45084</v>
      </c>
      <c r="G8" s="36">
        <v>45085</v>
      </c>
      <c r="H8" s="36">
        <v>45086</v>
      </c>
      <c r="I8" s="75">
        <v>45087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7" customFormat="1" ht="25" customHeight="1" x14ac:dyDescent="0.2">
      <c r="B10" s="85"/>
      <c r="C10" s="39">
        <f t="array" ref="C10:I10">DaysAndWeeks+DATE(CalendarYear,6,1)-WEEKDAY(DATE(CalendarYear,6,1),(WeekStart="M")+1)+15</f>
        <v>45088</v>
      </c>
      <c r="D10" s="36">
        <v>45089</v>
      </c>
      <c r="E10" s="36">
        <v>45090</v>
      </c>
      <c r="F10" s="36">
        <v>45091</v>
      </c>
      <c r="G10" s="36">
        <v>45092</v>
      </c>
      <c r="H10" s="36">
        <v>45093</v>
      </c>
      <c r="I10" s="75">
        <v>45094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7" customFormat="1" ht="25" customHeight="1" x14ac:dyDescent="0.2">
      <c r="B12" s="85"/>
      <c r="C12" s="39">
        <f t="array" ref="C12:I12">DaysAndWeeks+DATE(CalendarYear,6,1)-WEEKDAY(DATE(CalendarYear,6,1),(WeekStart="M")+1)+22</f>
        <v>45095</v>
      </c>
      <c r="D12" s="36">
        <v>45096</v>
      </c>
      <c r="E12" s="36">
        <v>45097</v>
      </c>
      <c r="F12" s="36">
        <v>45098</v>
      </c>
      <c r="G12" s="36">
        <v>45099</v>
      </c>
      <c r="H12" s="36">
        <v>45100</v>
      </c>
      <c r="I12" s="75">
        <v>45101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7" customFormat="1" ht="25" customHeight="1" x14ac:dyDescent="0.2">
      <c r="B14" s="85"/>
      <c r="C14" s="39">
        <f t="array" ref="C14:I14">DaysAndWeeks+DATE(CalendarYear,6,1)-WEEKDAY(DATE(CalendarYear,6,1),(WeekStart="M")+1)+29</f>
        <v>45102</v>
      </c>
      <c r="D14" s="36">
        <v>45103</v>
      </c>
      <c r="E14" s="36">
        <v>45104</v>
      </c>
      <c r="F14" s="36">
        <v>45105</v>
      </c>
      <c r="G14" s="36">
        <v>45106</v>
      </c>
      <c r="H14" s="38">
        <v>45107</v>
      </c>
      <c r="I14" s="77">
        <v>45108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147"/>
      <c r="H15" s="72"/>
      <c r="I15" s="78"/>
    </row>
    <row r="16" spans="2:9" s="35" customFormat="1" ht="25" customHeight="1" x14ac:dyDescent="0.2">
      <c r="B16" s="83"/>
      <c r="C16" s="45">
        <f t="array" ref="C16:I16">DaysAndWeeks+DATE(CalendarYear,6,1)-WEEKDAY(DATE(CalendarYear,6,1),(WeekStart="M")+1)+36</f>
        <v>45109</v>
      </c>
      <c r="D16" s="38">
        <v>45110</v>
      </c>
      <c r="E16" s="38">
        <v>45111</v>
      </c>
      <c r="F16" s="38">
        <v>45112</v>
      </c>
      <c r="G16" s="38">
        <v>45113</v>
      </c>
      <c r="H16" s="38">
        <v>45114</v>
      </c>
      <c r="I16" s="77">
        <v>45115</v>
      </c>
    </row>
    <row r="17" spans="2:9" s="35" customFormat="1" ht="75" customHeight="1" x14ac:dyDescent="0.2">
      <c r="B17" s="83"/>
      <c r="C17" s="79"/>
      <c r="D17" s="69"/>
      <c r="E17" s="69"/>
      <c r="F17" s="69"/>
      <c r="G17" s="69"/>
      <c r="H17" s="69"/>
      <c r="I17" s="80"/>
    </row>
    <row r="18" spans="2:9" ht="125" customHeight="1" thickBot="1" x14ac:dyDescent="0.2">
      <c r="B18" s="82"/>
      <c r="C18" s="183" t="s">
        <v>6</v>
      </c>
      <c r="D18" s="184"/>
      <c r="E18" s="184"/>
      <c r="F18" s="184"/>
      <c r="G18" s="184"/>
      <c r="H18" s="184"/>
      <c r="I18" s="185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0" priority="3">
      <formula>DAY(C6)&gt;8</formula>
    </cfRule>
  </conditionalFormatting>
  <conditionalFormatting sqref="C14:I17">
    <cfRule type="expression" dxfId="19" priority="2">
      <formula>AND(DAY(C14)&gt;=1,DAY(C14)&lt;=15)</formula>
    </cfRule>
  </conditionalFormatting>
  <conditionalFormatting sqref="C18">
    <cfRule type="expression" dxfId="18" priority="1">
      <formula>AND(DAY(C18)&gt;=1,DAY(C18)&lt;=15)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22</v>
      </c>
      <c r="H3" s="20" t="s">
        <v>23</v>
      </c>
      <c r="I3" s="86"/>
    </row>
    <row r="4" spans="2:9" ht="75" customHeight="1" x14ac:dyDescent="0.65">
      <c r="B4" s="82"/>
      <c r="C4" s="156">
        <f>CalendarYear</f>
        <v>2023</v>
      </c>
      <c r="D4" s="182" t="s">
        <v>24</v>
      </c>
      <c r="E4" s="182"/>
      <c r="F4" s="182"/>
      <c r="G4" s="182"/>
      <c r="H4" s="182"/>
      <c r="I4" s="157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45">
        <f t="array" ref="C6:I6">DaysAndWeeks+DATE(CalendarYear,7,1)-WEEKDAY(DATE(CalendarYear,7,1),(WeekStart="M")+1)+1</f>
        <v>45102</v>
      </c>
      <c r="D6" s="38">
        <v>45103</v>
      </c>
      <c r="E6" s="38">
        <v>45104</v>
      </c>
      <c r="F6" s="70">
        <v>45105</v>
      </c>
      <c r="G6" s="38">
        <v>45106</v>
      </c>
      <c r="H6" s="36">
        <v>45107</v>
      </c>
      <c r="I6" s="75">
        <v>45108</v>
      </c>
    </row>
    <row r="7" spans="2:9" s="58" customFormat="1" ht="75" customHeight="1" x14ac:dyDescent="0.15">
      <c r="B7" s="90"/>
      <c r="C7" s="62"/>
      <c r="D7" s="60"/>
      <c r="E7" s="60"/>
      <c r="F7" s="173" t="s">
        <v>5</v>
      </c>
      <c r="G7" s="152"/>
      <c r="H7" s="57"/>
      <c r="I7" s="91"/>
    </row>
    <row r="8" spans="2:9" s="37" customFormat="1" ht="25" customHeight="1" x14ac:dyDescent="0.2">
      <c r="B8" s="85"/>
      <c r="C8" s="39">
        <f t="array" ref="C8:I8">DaysAndWeeks+DATE(CalendarYear,7,1)-WEEKDAY(DATE(CalendarYear,7,1),(WeekStart="M")+1)+8</f>
        <v>45109</v>
      </c>
      <c r="D8" s="36">
        <v>45110</v>
      </c>
      <c r="E8" s="36">
        <v>45111</v>
      </c>
      <c r="F8" s="36">
        <v>45112</v>
      </c>
      <c r="G8" s="36">
        <v>45113</v>
      </c>
      <c r="H8" s="36">
        <v>45114</v>
      </c>
      <c r="I8" s="75">
        <v>45115</v>
      </c>
    </row>
    <row r="9" spans="2:9" s="58" customFormat="1" ht="75" customHeight="1" x14ac:dyDescent="0.15">
      <c r="B9" s="90"/>
      <c r="C9" s="144">
        <v>0.625</v>
      </c>
      <c r="D9" s="149"/>
      <c r="E9" s="146"/>
      <c r="F9" s="149" t="s">
        <v>5</v>
      </c>
      <c r="G9" s="146"/>
      <c r="H9" s="57"/>
      <c r="I9" s="168" t="s">
        <v>5</v>
      </c>
    </row>
    <row r="10" spans="2:9" s="37" customFormat="1" ht="25" customHeight="1" x14ac:dyDescent="0.2">
      <c r="B10" s="85"/>
      <c r="C10" s="39">
        <f t="array" ref="C10:I10">DaysAndWeeks+DATE(CalendarYear,7,1)-WEEKDAY(DATE(CalendarYear,7,1),(WeekStart="M")+1)+15</f>
        <v>45116</v>
      </c>
      <c r="D10" s="36">
        <v>45117</v>
      </c>
      <c r="E10" s="36">
        <v>45118</v>
      </c>
      <c r="F10" s="36">
        <v>45119</v>
      </c>
      <c r="G10" s="36">
        <v>45120</v>
      </c>
      <c r="H10" s="36">
        <v>45121</v>
      </c>
      <c r="I10" s="75">
        <v>45122</v>
      </c>
    </row>
    <row r="11" spans="2:9" s="58" customFormat="1" ht="75" customHeight="1" x14ac:dyDescent="0.15">
      <c r="B11" s="90"/>
      <c r="C11" s="144"/>
      <c r="D11" s="149"/>
      <c r="E11" s="146"/>
      <c r="F11" s="149" t="s">
        <v>5</v>
      </c>
      <c r="G11" s="146"/>
      <c r="H11" s="57"/>
      <c r="I11" s="91"/>
    </row>
    <row r="12" spans="2:9" s="37" customFormat="1" ht="25" customHeight="1" x14ac:dyDescent="0.2">
      <c r="B12" s="85"/>
      <c r="C12" s="39">
        <f t="array" ref="C12:I12">DaysAndWeeks+DATE(CalendarYear,7,1)-WEEKDAY(DATE(CalendarYear,7,1),(WeekStart="M")+1)+22</f>
        <v>45123</v>
      </c>
      <c r="D12" s="36">
        <v>45124</v>
      </c>
      <c r="E12" s="36">
        <v>45125</v>
      </c>
      <c r="F12" s="36">
        <v>45126</v>
      </c>
      <c r="G12" s="36">
        <v>45127</v>
      </c>
      <c r="H12" s="36">
        <v>45128</v>
      </c>
      <c r="I12" s="75">
        <v>45129</v>
      </c>
    </row>
    <row r="13" spans="2:9" s="58" customFormat="1" ht="75" customHeight="1" x14ac:dyDescent="0.15">
      <c r="B13" s="90"/>
      <c r="C13" s="144">
        <v>0.625</v>
      </c>
      <c r="D13" s="149"/>
      <c r="E13" s="146"/>
      <c r="F13" s="149" t="s">
        <v>5</v>
      </c>
      <c r="G13" s="146"/>
      <c r="H13" s="57"/>
      <c r="I13" s="168" t="s">
        <v>5</v>
      </c>
    </row>
    <row r="14" spans="2:9" s="35" customFormat="1" ht="25" customHeight="1" x14ac:dyDescent="0.2">
      <c r="B14" s="83"/>
      <c r="C14" s="39">
        <f t="array" ref="C14:I14">DaysAndWeeks+DATE(CalendarYear,7,1)-WEEKDAY(DATE(CalendarYear,7,1),(WeekStart="M")+1)+29</f>
        <v>45130</v>
      </c>
      <c r="D14" s="36">
        <v>45131</v>
      </c>
      <c r="E14" s="36">
        <v>45132</v>
      </c>
      <c r="F14" s="36">
        <v>45133</v>
      </c>
      <c r="G14" s="36">
        <v>45134</v>
      </c>
      <c r="H14" s="36">
        <v>45135</v>
      </c>
      <c r="I14" s="75">
        <v>45136</v>
      </c>
    </row>
    <row r="15" spans="2:9" s="58" customFormat="1" ht="75" customHeight="1" x14ac:dyDescent="0.15">
      <c r="B15" s="90"/>
      <c r="C15" s="144"/>
      <c r="D15" s="149"/>
      <c r="E15" s="146"/>
      <c r="F15" s="149" t="s">
        <v>5</v>
      </c>
      <c r="G15" s="146"/>
      <c r="H15" s="57"/>
      <c r="I15" s="106"/>
    </row>
    <row r="16" spans="2:9" s="37" customFormat="1" ht="25" customHeight="1" x14ac:dyDescent="0.2">
      <c r="B16" s="85"/>
      <c r="C16" s="39">
        <f t="array" ref="C16:I16">DaysAndWeeks+DATE(CalendarYear,7,1)-WEEKDAY(DATE(CalendarYear,7,1),(WeekStart="M")+1)+36</f>
        <v>45137</v>
      </c>
      <c r="D16" s="120">
        <v>45138</v>
      </c>
      <c r="E16" s="38">
        <v>45139</v>
      </c>
      <c r="F16" s="38">
        <v>45140</v>
      </c>
      <c r="G16" s="38">
        <v>45141</v>
      </c>
      <c r="H16" s="38">
        <v>45142</v>
      </c>
      <c r="I16" s="77">
        <v>45143</v>
      </c>
    </row>
    <row r="17" spans="2:9" s="58" customFormat="1" ht="75" customHeight="1" x14ac:dyDescent="0.15">
      <c r="B17" s="90"/>
      <c r="C17" s="144">
        <v>0.625</v>
      </c>
      <c r="D17" s="57"/>
      <c r="E17" s="60"/>
      <c r="F17" s="60"/>
      <c r="G17" s="60"/>
      <c r="H17" s="60"/>
      <c r="I17" s="97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7" priority="3">
      <formula>DAY(C6)&gt;8</formula>
    </cfRule>
  </conditionalFormatting>
  <conditionalFormatting sqref="C14:I17">
    <cfRule type="expression" dxfId="16" priority="2">
      <formula>AND(DAY(C14)&gt;=1,DAY(C14)&lt;=15)</formula>
    </cfRule>
  </conditionalFormatting>
  <conditionalFormatting sqref="C18">
    <cfRule type="expression" dxfId="15" priority="1">
      <formula>AND(DAY(C18)&gt;=1,DAY(C18)&lt;=15)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/>
    <row r="2" spans="2:9" ht="75" customHeight="1" thickTop="1" x14ac:dyDescent="0.15">
      <c r="B2" s="83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2">
      <c r="B3" s="83"/>
      <c r="C3" s="107"/>
      <c r="D3" s="108"/>
      <c r="E3" s="108"/>
      <c r="F3" s="109"/>
      <c r="G3" s="51" t="s">
        <v>25</v>
      </c>
      <c r="H3" s="51" t="s">
        <v>26</v>
      </c>
      <c r="I3" s="115"/>
    </row>
    <row r="4" spans="2:9" ht="75" customHeight="1" x14ac:dyDescent="0.65">
      <c r="B4" s="83"/>
      <c r="C4" s="156">
        <f>CalendarYear</f>
        <v>2023</v>
      </c>
      <c r="D4" s="182" t="s">
        <v>27</v>
      </c>
      <c r="E4" s="182"/>
      <c r="F4" s="182"/>
      <c r="G4" s="182"/>
      <c r="H4" s="182"/>
      <c r="I4" s="157"/>
    </row>
    <row r="5" spans="2:9" ht="35" customHeight="1" x14ac:dyDescent="0.15">
      <c r="B5" s="83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110" customFormat="1" ht="25" customHeight="1" x14ac:dyDescent="0.2">
      <c r="B6" s="113"/>
      <c r="C6" s="112">
        <f t="array" ref="C6:I6">DaysAndWeeks+DATE(CalendarYear,8,1)-WEEKDAY(DATE(CalendarYear,8,1),(WeekStart="M")+1)+1</f>
        <v>45137</v>
      </c>
      <c r="D6" s="112">
        <v>45138</v>
      </c>
      <c r="E6" s="68">
        <v>45139</v>
      </c>
      <c r="F6" s="68">
        <v>45140</v>
      </c>
      <c r="G6" s="68">
        <v>45141</v>
      </c>
      <c r="H6" s="68">
        <v>45142</v>
      </c>
      <c r="I6" s="114">
        <v>45143</v>
      </c>
    </row>
    <row r="7" spans="2:9" s="73" customFormat="1" ht="75" customHeight="1" x14ac:dyDescent="0.15">
      <c r="B7" s="84"/>
      <c r="C7" s="153">
        <v>0.625</v>
      </c>
      <c r="D7" s="153"/>
      <c r="E7" s="147"/>
      <c r="F7" s="150" t="s">
        <v>5</v>
      </c>
      <c r="G7" s="147"/>
      <c r="H7" s="67"/>
      <c r="I7" s="172" t="s">
        <v>5</v>
      </c>
    </row>
    <row r="8" spans="2:9" ht="25" customHeight="1" x14ac:dyDescent="0.2">
      <c r="B8" s="83"/>
      <c r="C8" s="39">
        <f t="array" ref="C8:I8">DaysAndWeeks+DATE(CalendarYear,8,1)-WEEKDAY(DATE(CalendarYear,8,1),(WeekStart="M")+1)+8</f>
        <v>45144</v>
      </c>
      <c r="D8" s="120">
        <v>45145</v>
      </c>
      <c r="E8" s="36">
        <v>45146</v>
      </c>
      <c r="F8" s="36">
        <v>45147</v>
      </c>
      <c r="G8" s="36">
        <v>45148</v>
      </c>
      <c r="H8" s="36">
        <v>45149</v>
      </c>
      <c r="I8" s="75">
        <v>45150</v>
      </c>
    </row>
    <row r="9" spans="2:9" s="73" customFormat="1" ht="75" customHeight="1" x14ac:dyDescent="0.15">
      <c r="B9" s="84"/>
      <c r="C9" s="151"/>
      <c r="D9" s="150"/>
      <c r="E9" s="147"/>
      <c r="F9" s="150" t="s">
        <v>5</v>
      </c>
      <c r="G9" s="147"/>
      <c r="H9" s="67"/>
      <c r="I9" s="76"/>
    </row>
    <row r="10" spans="2:9" ht="25" customHeight="1" x14ac:dyDescent="0.2">
      <c r="B10" s="83"/>
      <c r="C10" s="39">
        <f t="array" ref="C10:I10">DaysAndWeeks+DATE(CalendarYear,8,1)-WEEKDAY(DATE(CalendarYear,8,1),(WeekStart="M")+1)+15</f>
        <v>45151</v>
      </c>
      <c r="D10" s="120">
        <v>45152</v>
      </c>
      <c r="E10" s="36">
        <v>45153</v>
      </c>
      <c r="F10" s="36">
        <v>45154</v>
      </c>
      <c r="G10" s="36">
        <v>45155</v>
      </c>
      <c r="H10" s="36">
        <v>45156</v>
      </c>
      <c r="I10" s="75">
        <v>45157</v>
      </c>
    </row>
    <row r="11" spans="2:9" s="73" customFormat="1" ht="75" customHeight="1" x14ac:dyDescent="0.15">
      <c r="B11" s="84"/>
      <c r="C11" s="151">
        <v>0.625</v>
      </c>
      <c r="D11" s="150"/>
      <c r="E11" s="147"/>
      <c r="F11" s="150" t="s">
        <v>5</v>
      </c>
      <c r="G11" s="147"/>
      <c r="H11" s="67"/>
      <c r="I11" s="172" t="s">
        <v>5</v>
      </c>
    </row>
    <row r="12" spans="2:9" ht="25" customHeight="1" x14ac:dyDescent="0.2">
      <c r="B12" s="83"/>
      <c r="C12" s="39">
        <f t="array" ref="C12:I12">DaysAndWeeks+DATE(CalendarYear,8,1)-WEEKDAY(DATE(CalendarYear,8,1),(WeekStart="M")+1)+22</f>
        <v>45158</v>
      </c>
      <c r="D12" s="120">
        <v>45159</v>
      </c>
      <c r="E12" s="36">
        <v>45160</v>
      </c>
      <c r="F12" s="36">
        <v>45161</v>
      </c>
      <c r="G12" s="36">
        <v>45162</v>
      </c>
      <c r="H12" s="36">
        <v>45163</v>
      </c>
      <c r="I12" s="75">
        <v>45164</v>
      </c>
    </row>
    <row r="13" spans="2:9" s="73" customFormat="1" ht="75" customHeight="1" x14ac:dyDescent="0.15">
      <c r="B13" s="84"/>
      <c r="C13" s="151"/>
      <c r="D13" s="150"/>
      <c r="E13" s="147"/>
      <c r="F13" s="150" t="s">
        <v>5</v>
      </c>
      <c r="G13" s="147"/>
      <c r="H13" s="67"/>
      <c r="I13" s="76"/>
    </row>
    <row r="14" spans="2:9" ht="25" customHeight="1" x14ac:dyDescent="0.2">
      <c r="B14" s="83"/>
      <c r="C14" s="39">
        <f t="array" ref="C14:I14">DaysAndWeeks+DATE(CalendarYear,8,1)-WEEKDAY(DATE(CalendarYear,8,1),(WeekStart="M")+1)+29</f>
        <v>45165</v>
      </c>
      <c r="D14" s="36">
        <v>45166</v>
      </c>
      <c r="E14" s="36">
        <v>45167</v>
      </c>
      <c r="F14" s="36">
        <v>45168</v>
      </c>
      <c r="G14" s="120">
        <v>45169</v>
      </c>
      <c r="H14" s="38">
        <v>45170</v>
      </c>
      <c r="I14" s="77">
        <v>45171</v>
      </c>
    </row>
    <row r="15" spans="2:9" s="73" customFormat="1" ht="75" customHeight="1" x14ac:dyDescent="0.15">
      <c r="B15" s="84"/>
      <c r="C15" s="151">
        <v>0.625</v>
      </c>
      <c r="D15" s="150"/>
      <c r="E15" s="147"/>
      <c r="F15" s="150" t="s">
        <v>5</v>
      </c>
      <c r="G15" s="67"/>
      <c r="H15" s="72"/>
      <c r="I15" s="78"/>
    </row>
    <row r="16" spans="2:9" ht="25" customHeight="1" x14ac:dyDescent="0.2">
      <c r="B16" s="83"/>
      <c r="C16" s="45">
        <f t="array" ref="C16:I16">DaysAndWeeks+DATE(CalendarYear,8,1)-WEEKDAY(DATE(CalendarYear,8,1),(WeekStart="M")+1)+36</f>
        <v>45172</v>
      </c>
      <c r="D16" s="38">
        <v>45173</v>
      </c>
      <c r="E16" s="38">
        <v>45174</v>
      </c>
      <c r="F16" s="38">
        <v>45175</v>
      </c>
      <c r="G16" s="38">
        <v>45176</v>
      </c>
      <c r="H16" s="38">
        <v>45177</v>
      </c>
      <c r="I16" s="77">
        <v>45178</v>
      </c>
    </row>
    <row r="17" spans="2:9" s="73" customFormat="1" ht="75" customHeight="1" x14ac:dyDescent="0.15">
      <c r="B17" s="84"/>
      <c r="C17" s="74"/>
      <c r="D17" s="72"/>
      <c r="E17" s="72"/>
      <c r="F17" s="72"/>
      <c r="G17" s="72"/>
      <c r="H17" s="72"/>
      <c r="I17" s="78"/>
    </row>
    <row r="18" spans="2:9" s="1" customFormat="1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4" priority="3">
      <formula>DAY(C6)&gt;8</formula>
    </cfRule>
  </conditionalFormatting>
  <conditionalFormatting sqref="C14:I17">
    <cfRule type="expression" dxfId="13" priority="2">
      <formula>AND(DAY(C14)&gt;=1,DAY(C14)&lt;=15)</formula>
    </cfRule>
  </conditionalFormatting>
  <conditionalFormatting sqref="C18">
    <cfRule type="expression" dxfId="12" priority="1">
      <formula>AND(DAY(C18)&gt;=1,DAY(C18)&lt;=15)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28</v>
      </c>
      <c r="H3" s="20" t="s">
        <v>29</v>
      </c>
      <c r="I3" s="86"/>
    </row>
    <row r="4" spans="2:9" ht="75" customHeight="1" x14ac:dyDescent="0.65">
      <c r="B4" s="82"/>
      <c r="C4" s="156">
        <f>CalendarYear</f>
        <v>2023</v>
      </c>
      <c r="D4" s="187" t="s">
        <v>30</v>
      </c>
      <c r="E4" s="187"/>
      <c r="F4" s="187"/>
      <c r="G4" s="187"/>
      <c r="H4" s="187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7" customFormat="1" ht="25" customHeight="1" x14ac:dyDescent="0.2">
      <c r="B6" s="85"/>
      <c r="C6" s="45">
        <f t="array" ref="C6:I6">DaysAndWeeks+DATE(CalendarYear,9,1)-WEEKDAY(DATE(CalendarYear,9,1),(WeekStart="M")+1)+1</f>
        <v>45165</v>
      </c>
      <c r="D6" s="38">
        <v>45166</v>
      </c>
      <c r="E6" s="38">
        <v>45167</v>
      </c>
      <c r="F6" s="38">
        <v>45168</v>
      </c>
      <c r="G6" s="36">
        <v>45169</v>
      </c>
      <c r="H6" s="36">
        <v>45170</v>
      </c>
      <c r="I6" s="75">
        <v>45171</v>
      </c>
    </row>
    <row r="7" spans="2:9" s="58" customFormat="1" ht="75" customHeight="1" x14ac:dyDescent="0.15">
      <c r="B7" s="90"/>
      <c r="C7" s="62"/>
      <c r="D7" s="60"/>
      <c r="E7" s="60"/>
      <c r="F7" s="170" t="s">
        <v>5</v>
      </c>
      <c r="G7" s="141"/>
      <c r="H7" s="57"/>
      <c r="I7" s="168" t="s">
        <v>5</v>
      </c>
    </row>
    <row r="8" spans="2:9" s="37" customFormat="1" ht="25" customHeight="1" x14ac:dyDescent="0.2">
      <c r="B8" s="85"/>
      <c r="C8" s="39">
        <f t="array" ref="C8:I8">DaysAndWeeks+DATE(CalendarYear,9,1)-WEEKDAY(DATE(CalendarYear,9,1),(WeekStart="M")+1)+8</f>
        <v>45172</v>
      </c>
      <c r="D8" s="36">
        <v>45173</v>
      </c>
      <c r="E8" s="36">
        <v>45174</v>
      </c>
      <c r="F8" s="36">
        <v>45175</v>
      </c>
      <c r="G8" s="36">
        <v>45176</v>
      </c>
      <c r="H8" s="36">
        <v>45177</v>
      </c>
      <c r="I8" s="75">
        <v>45178</v>
      </c>
    </row>
    <row r="9" spans="2:9" s="58" customFormat="1" ht="75" customHeight="1" x14ac:dyDescent="0.15">
      <c r="B9" s="90"/>
      <c r="C9" s="144"/>
      <c r="D9" s="149"/>
      <c r="E9" s="146"/>
      <c r="F9" s="146" t="s">
        <v>5</v>
      </c>
      <c r="G9" s="146"/>
      <c r="H9" s="57"/>
      <c r="I9" s="91"/>
    </row>
    <row r="10" spans="2:9" s="37" customFormat="1" ht="25" customHeight="1" x14ac:dyDescent="0.2">
      <c r="B10" s="85"/>
      <c r="C10" s="39">
        <f t="array" ref="C10:I10">DaysAndWeeks+DATE(CalendarYear,9,1)-WEEKDAY(DATE(CalendarYear,9,1),(WeekStart="M")+1)+15</f>
        <v>45179</v>
      </c>
      <c r="D10" s="36">
        <v>45180</v>
      </c>
      <c r="E10" s="36">
        <v>45181</v>
      </c>
      <c r="F10" s="36">
        <v>45182</v>
      </c>
      <c r="G10" s="36">
        <v>45183</v>
      </c>
      <c r="H10" s="36">
        <v>45184</v>
      </c>
      <c r="I10" s="75">
        <v>45185</v>
      </c>
    </row>
    <row r="11" spans="2:9" s="58" customFormat="1" ht="75" customHeight="1" x14ac:dyDescent="0.15">
      <c r="B11" s="90"/>
      <c r="C11" s="144">
        <v>0.625</v>
      </c>
      <c r="D11" s="149"/>
      <c r="E11" s="146"/>
      <c r="F11" s="146" t="s">
        <v>5</v>
      </c>
      <c r="G11" s="146"/>
      <c r="H11" s="57"/>
      <c r="I11" s="168" t="s">
        <v>5</v>
      </c>
    </row>
    <row r="12" spans="2:9" s="37" customFormat="1" ht="25" customHeight="1" x14ac:dyDescent="0.2">
      <c r="B12" s="85"/>
      <c r="C12" s="39">
        <f t="array" ref="C12:I12">DaysAndWeeks+DATE(CalendarYear,9,1)-WEEKDAY(DATE(CalendarYear,9,1),(WeekStart="M")+1)+22</f>
        <v>45186</v>
      </c>
      <c r="D12" s="36">
        <v>45187</v>
      </c>
      <c r="E12" s="36">
        <v>45188</v>
      </c>
      <c r="F12" s="36">
        <v>45189</v>
      </c>
      <c r="G12" s="36">
        <v>45190</v>
      </c>
      <c r="H12" s="36">
        <v>45191</v>
      </c>
      <c r="I12" s="75">
        <v>45192</v>
      </c>
    </row>
    <row r="13" spans="2:9" s="58" customFormat="1" ht="75" customHeight="1" x14ac:dyDescent="0.15">
      <c r="B13" s="90"/>
      <c r="C13" s="144"/>
      <c r="D13" s="149"/>
      <c r="E13" s="146"/>
      <c r="F13" s="146" t="s">
        <v>5</v>
      </c>
      <c r="G13" s="146"/>
      <c r="H13" s="57"/>
      <c r="I13" s="91"/>
    </row>
    <row r="14" spans="2:9" s="37" customFormat="1" ht="25" customHeight="1" x14ac:dyDescent="0.2">
      <c r="B14" s="85"/>
      <c r="C14" s="39">
        <f t="array" ref="C14:I14">DaysAndWeeks+DATE(CalendarYear,9,1)-WEEKDAY(DATE(CalendarYear,9,1),(WeekStart="M")+1)+29</f>
        <v>45193</v>
      </c>
      <c r="D14" s="36">
        <v>45194</v>
      </c>
      <c r="E14" s="36">
        <v>45195</v>
      </c>
      <c r="F14" s="36">
        <v>45196</v>
      </c>
      <c r="G14" s="36">
        <v>45197</v>
      </c>
      <c r="H14" s="36">
        <v>45198</v>
      </c>
      <c r="I14" s="77">
        <v>45199</v>
      </c>
    </row>
    <row r="15" spans="2:9" s="58" customFormat="1" ht="75" customHeight="1" x14ac:dyDescent="0.15">
      <c r="B15" s="90"/>
      <c r="C15" s="144">
        <v>0.625</v>
      </c>
      <c r="D15" s="149"/>
      <c r="E15" s="146"/>
      <c r="F15" s="146" t="s">
        <v>5</v>
      </c>
      <c r="G15" s="146"/>
      <c r="H15" s="57"/>
      <c r="I15" s="174" t="s">
        <v>5</v>
      </c>
    </row>
    <row r="16" spans="2:9" s="37" customFormat="1" ht="25" customHeight="1" x14ac:dyDescent="0.2">
      <c r="B16" s="85"/>
      <c r="C16" s="45">
        <f t="array" ref="C16:I16">DaysAndWeeks+DATE(CalendarYear,9,1)-WEEKDAY(DATE(CalendarYear,9,1),(WeekStart="M")+1)+36</f>
        <v>45200</v>
      </c>
      <c r="D16" s="38">
        <v>45201</v>
      </c>
      <c r="E16" s="38">
        <v>45202</v>
      </c>
      <c r="F16" s="38">
        <v>45203</v>
      </c>
      <c r="G16" s="38">
        <v>45204</v>
      </c>
      <c r="H16" s="38">
        <v>45205</v>
      </c>
      <c r="I16" s="77">
        <v>45206</v>
      </c>
    </row>
    <row r="17" spans="2:9" s="58" customFormat="1" ht="75" customHeight="1" x14ac:dyDescent="0.15">
      <c r="B17" s="90"/>
      <c r="C17" s="62"/>
      <c r="D17" s="60"/>
      <c r="E17" s="60"/>
      <c r="F17" s="60"/>
      <c r="G17" s="60"/>
      <c r="H17" s="60"/>
      <c r="I17" s="97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11" priority="3">
      <formula>DAY(C6)&gt;8</formula>
    </cfRule>
  </conditionalFormatting>
  <conditionalFormatting sqref="C14:I17">
    <cfRule type="expression" dxfId="10" priority="2">
      <formula>AND(DAY(C14)&gt;=1,DAY(C14)&lt;=15)</formula>
    </cfRule>
  </conditionalFormatting>
  <conditionalFormatting sqref="C18">
    <cfRule type="expression" dxfId="9" priority="1">
      <formula>AND(DAY(C18)&gt;=1,DAY(C18)&lt;=15)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7" x14ac:dyDescent="0.15"/>
  <cols>
    <col min="1" max="2" width="2.625" style="35" customWidth="1"/>
    <col min="3" max="9" width="24.375" style="35" customWidth="1"/>
    <col min="10" max="16384" width="8.625" style="35"/>
  </cols>
  <sheetData>
    <row r="1" spans="2:9" ht="15" customHeight="1" thickBot="1" x14ac:dyDescent="0.2">
      <c r="C1" s="119"/>
      <c r="D1" s="119"/>
      <c r="E1" s="119"/>
      <c r="F1" s="119"/>
      <c r="G1" s="119"/>
      <c r="H1" s="119"/>
      <c r="I1" s="119"/>
    </row>
    <row r="2" spans="2:9" ht="75" customHeight="1" thickTop="1" x14ac:dyDescent="0.15">
      <c r="B2" s="83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2">
      <c r="B3" s="83"/>
      <c r="C3" s="107"/>
      <c r="D3" s="108"/>
      <c r="E3" s="108"/>
      <c r="F3" s="109"/>
      <c r="G3" s="20" t="s">
        <v>31</v>
      </c>
      <c r="H3" s="20" t="s">
        <v>32</v>
      </c>
      <c r="I3" s="115"/>
    </row>
    <row r="4" spans="2:9" ht="75" customHeight="1" x14ac:dyDescent="0.65">
      <c r="B4" s="83"/>
      <c r="C4" s="156">
        <f>CalendarYear</f>
        <v>2023</v>
      </c>
      <c r="D4" s="187" t="s">
        <v>33</v>
      </c>
      <c r="E4" s="187"/>
      <c r="F4" s="187"/>
      <c r="G4" s="187"/>
      <c r="H4" s="187"/>
      <c r="I4" s="155"/>
    </row>
    <row r="5" spans="2:9" ht="35" customHeight="1" x14ac:dyDescent="0.15">
      <c r="B5" s="83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ht="25" customHeight="1" x14ac:dyDescent="0.2">
      <c r="B6" s="83"/>
      <c r="C6" s="125">
        <f t="array" ref="C6:I6">DaysAndWeeks+DATE(CalendarYear,10,1)-WEEKDAY(DATE(CalendarYear,10,1),(WeekStart="M")+1)+1</f>
        <v>45200</v>
      </c>
      <c r="D6" s="120">
        <v>45201</v>
      </c>
      <c r="E6" s="120">
        <v>45202</v>
      </c>
      <c r="F6" s="120">
        <v>45203</v>
      </c>
      <c r="G6" s="120">
        <v>45204</v>
      </c>
      <c r="H6" s="120">
        <v>45205</v>
      </c>
      <c r="I6" s="75">
        <v>45206</v>
      </c>
    </row>
    <row r="7" spans="2:9" s="73" customFormat="1" ht="75" customHeight="1" x14ac:dyDescent="0.15">
      <c r="B7" s="84"/>
      <c r="C7" s="151"/>
      <c r="D7" s="67"/>
      <c r="E7" s="147"/>
      <c r="F7" s="150" t="s">
        <v>5</v>
      </c>
      <c r="G7" s="137"/>
      <c r="H7" s="67"/>
      <c r="I7" s="76"/>
    </row>
    <row r="8" spans="2:9" ht="25" customHeight="1" x14ac:dyDescent="0.2">
      <c r="B8" s="83"/>
      <c r="C8" s="39">
        <f t="array" ref="C8:I8">DaysAndWeeks+DATE(CalendarYear,10,1)-WEEKDAY(DATE(CalendarYear,10,1),(WeekStart="M")+1)+8</f>
        <v>45207</v>
      </c>
      <c r="D8" s="36">
        <v>45208</v>
      </c>
      <c r="E8" s="36">
        <v>45209</v>
      </c>
      <c r="F8" s="36">
        <v>45210</v>
      </c>
      <c r="G8" s="36">
        <v>45211</v>
      </c>
      <c r="H8" s="36">
        <v>45212</v>
      </c>
      <c r="I8" s="75">
        <v>45213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ht="25" customHeight="1" x14ac:dyDescent="0.2">
      <c r="B10" s="83"/>
      <c r="C10" s="39">
        <f t="array" ref="C10:I10">DaysAndWeeks+DATE(CalendarYear,10,1)-WEEKDAY(DATE(CalendarYear,10,1),(WeekStart="M")+1)+15</f>
        <v>45214</v>
      </c>
      <c r="D10" s="36">
        <v>45215</v>
      </c>
      <c r="E10" s="36">
        <v>45216</v>
      </c>
      <c r="F10" s="36">
        <v>45217</v>
      </c>
      <c r="G10" s="36">
        <v>45218</v>
      </c>
      <c r="H10" s="36">
        <v>45219</v>
      </c>
      <c r="I10" s="75">
        <v>45220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ht="25" customHeight="1" x14ac:dyDescent="0.2">
      <c r="B12" s="83"/>
      <c r="C12" s="39">
        <f t="array" ref="C12:I12">DaysAndWeeks+DATE(CalendarYear,10,1)-WEEKDAY(DATE(CalendarYear,10,1),(WeekStart="M")+1)+22</f>
        <v>45221</v>
      </c>
      <c r="D12" s="36">
        <v>45222</v>
      </c>
      <c r="E12" s="36">
        <v>45223</v>
      </c>
      <c r="F12" s="36">
        <v>45224</v>
      </c>
      <c r="G12" s="36">
        <v>45225</v>
      </c>
      <c r="H12" s="36">
        <v>45226</v>
      </c>
      <c r="I12" s="75">
        <v>45227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ht="25" customHeight="1" x14ac:dyDescent="0.2">
      <c r="B14" s="83"/>
      <c r="C14" s="39">
        <f t="array" ref="C14:I14">DaysAndWeeks+DATE(CalendarYear,10,1)-WEEKDAY(DATE(CalendarYear,10,1),(WeekStart="M")+1)+29</f>
        <v>45228</v>
      </c>
      <c r="D14" s="36">
        <v>45229</v>
      </c>
      <c r="E14" s="36">
        <v>45230</v>
      </c>
      <c r="F14" s="36">
        <v>45231</v>
      </c>
      <c r="G14" s="36">
        <v>45232</v>
      </c>
      <c r="H14" s="36">
        <v>45233</v>
      </c>
      <c r="I14" s="75">
        <v>45234</v>
      </c>
    </row>
    <row r="15" spans="2:9" s="116" customFormat="1" ht="75" customHeight="1" x14ac:dyDescent="0.15">
      <c r="B15" s="117"/>
      <c r="C15" s="151"/>
      <c r="D15" s="150"/>
      <c r="E15" s="147"/>
      <c r="F15" s="150" t="s">
        <v>5</v>
      </c>
      <c r="G15" s="147"/>
      <c r="H15" s="71"/>
      <c r="I15" s="118"/>
    </row>
    <row r="16" spans="2:9" ht="25" customHeight="1" x14ac:dyDescent="0.2">
      <c r="B16" s="83"/>
      <c r="C16" s="39">
        <f t="array" ref="C16:I16">DaysAndWeeks+DATE(CalendarYear,10,1)-WEEKDAY(DATE(CalendarYear,10,1),(WeekStart="M")+1)+36</f>
        <v>45235</v>
      </c>
      <c r="D16" s="36">
        <v>45236</v>
      </c>
      <c r="E16" s="38">
        <v>45237</v>
      </c>
      <c r="F16" s="38">
        <v>45238</v>
      </c>
      <c r="G16" s="38">
        <v>45239</v>
      </c>
      <c r="H16" s="38">
        <v>45240</v>
      </c>
      <c r="I16" s="38">
        <v>45241</v>
      </c>
    </row>
    <row r="17" spans="2:9" s="73" customFormat="1" ht="75" customHeight="1" x14ac:dyDescent="0.15">
      <c r="B17" s="84"/>
      <c r="C17" s="151"/>
      <c r="D17" s="67"/>
      <c r="E17" s="72"/>
      <c r="F17" s="72"/>
      <c r="G17" s="72"/>
      <c r="H17" s="72"/>
      <c r="I17" s="72"/>
    </row>
    <row r="18" spans="2:9" s="1" customFormat="1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8" priority="3">
      <formula>DAY(C6)&gt;8</formula>
    </cfRule>
  </conditionalFormatting>
  <conditionalFormatting sqref="C14:I17">
    <cfRule type="expression" dxfId="7" priority="2">
      <formula>AND(DAY(C14)&gt;=1,DAY(C14)&lt;=15)</formula>
    </cfRule>
  </conditionalFormatting>
  <conditionalFormatting sqref="C18">
    <cfRule type="expression" dxfId="6" priority="1">
      <formula>AND(DAY(C18)&gt;=1,DAY(C18)&lt;=15)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34</v>
      </c>
      <c r="H3" s="20" t="s">
        <v>35</v>
      </c>
      <c r="I3" s="86"/>
    </row>
    <row r="4" spans="2:9" ht="75" customHeight="1" x14ac:dyDescent="0.65">
      <c r="B4" s="82"/>
      <c r="C4" s="156">
        <f>CalendarYear</f>
        <v>2023</v>
      </c>
      <c r="D4" s="188" t="s">
        <v>36</v>
      </c>
      <c r="E4" s="188"/>
      <c r="F4" s="188"/>
      <c r="G4" s="188"/>
      <c r="H4" s="188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DaysAndWeeks+DATE(CalendarYear,11,1)-WEEKDAY(DATE(CalendarYear,11,1),(WeekStart="M")+1)+1</f>
        <v>45228</v>
      </c>
      <c r="D6" s="38">
        <v>45229</v>
      </c>
      <c r="E6" s="120">
        <v>45230</v>
      </c>
      <c r="F6" s="36">
        <v>45231</v>
      </c>
      <c r="G6" s="36">
        <v>45232</v>
      </c>
      <c r="H6" s="36">
        <v>45233</v>
      </c>
      <c r="I6" s="75">
        <v>45234</v>
      </c>
    </row>
    <row r="7" spans="2:9" s="73" customFormat="1" ht="75" customHeight="1" x14ac:dyDescent="0.15">
      <c r="B7" s="84"/>
      <c r="C7" s="74"/>
      <c r="D7" s="72"/>
      <c r="E7" s="137"/>
      <c r="F7" s="150" t="s">
        <v>5</v>
      </c>
      <c r="G7" s="147"/>
      <c r="H7" s="67"/>
      <c r="I7" s="76"/>
    </row>
    <row r="8" spans="2:9" s="35" customFormat="1" ht="25" customHeight="1" x14ac:dyDescent="0.2">
      <c r="B8" s="83"/>
      <c r="C8" s="39">
        <f t="array" ref="C8:I8">DaysAndWeeks+DATE(CalendarYear,11,1)-WEEKDAY(DATE(CalendarYear,11,1),(WeekStart="M")+1)+8</f>
        <v>45235</v>
      </c>
      <c r="D8" s="36">
        <v>45236</v>
      </c>
      <c r="E8" s="120">
        <v>45237</v>
      </c>
      <c r="F8" s="36">
        <v>45238</v>
      </c>
      <c r="G8" s="36">
        <v>45239</v>
      </c>
      <c r="H8" s="36">
        <v>45240</v>
      </c>
      <c r="I8" s="75">
        <v>45241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5" customFormat="1" ht="25" customHeight="1" x14ac:dyDescent="0.2">
      <c r="B10" s="83"/>
      <c r="C10" s="39">
        <f t="array" ref="C10:I10">DaysAndWeeks+DATE(CalendarYear,11,1)-WEEKDAY(DATE(CalendarYear,11,1),(WeekStart="M")+1)+15</f>
        <v>45242</v>
      </c>
      <c r="D10" s="36">
        <v>45243</v>
      </c>
      <c r="E10" s="120">
        <v>45244</v>
      </c>
      <c r="F10" s="36">
        <v>45245</v>
      </c>
      <c r="G10" s="36">
        <v>45246</v>
      </c>
      <c r="H10" s="36">
        <v>45247</v>
      </c>
      <c r="I10" s="75">
        <v>45248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5" customFormat="1" ht="25" customHeight="1" x14ac:dyDescent="0.2">
      <c r="B12" s="83"/>
      <c r="C12" s="39">
        <f t="array" ref="C12:I12">DaysAndWeeks+DATE(CalendarYear,11,1)-WEEKDAY(DATE(CalendarYear,11,1),(WeekStart="M")+1)+22</f>
        <v>45249</v>
      </c>
      <c r="D12" s="36">
        <v>45250</v>
      </c>
      <c r="E12" s="120">
        <v>45251</v>
      </c>
      <c r="F12" s="36">
        <v>45252</v>
      </c>
      <c r="G12" s="36">
        <v>45253</v>
      </c>
      <c r="H12" s="36">
        <v>45254</v>
      </c>
      <c r="I12" s="75">
        <v>45255</v>
      </c>
    </row>
    <row r="13" spans="2:9" s="73" customFormat="1" ht="75" customHeight="1" x14ac:dyDescent="0.15">
      <c r="B13" s="84"/>
      <c r="C13" s="151">
        <v>0.625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5" customFormat="1" ht="25" customHeight="1" x14ac:dyDescent="0.2">
      <c r="B14" s="83"/>
      <c r="C14" s="39">
        <f t="array" ref="C14:I14">DaysAndWeeks+DATE(CalendarYear,11,1)-WEEKDAY(DATE(CalendarYear,11,1),(WeekStart="M")+1)+29</f>
        <v>45256</v>
      </c>
      <c r="D14" s="36">
        <v>45257</v>
      </c>
      <c r="E14" s="120">
        <v>45258</v>
      </c>
      <c r="F14" s="36">
        <v>45259</v>
      </c>
      <c r="G14" s="38">
        <v>45260</v>
      </c>
      <c r="H14" s="38">
        <v>45261</v>
      </c>
      <c r="I14" s="77">
        <v>45262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72"/>
      <c r="H15" s="72"/>
      <c r="I15" s="78"/>
    </row>
    <row r="16" spans="2:9" s="35" customFormat="1" ht="25" customHeight="1" x14ac:dyDescent="0.2">
      <c r="B16" s="83"/>
      <c r="C16" s="70">
        <f t="array" ref="C16:I16">DaysAndWeeks+DATE(CalendarYear,11,1)-WEEKDAY(DATE(CalendarYear,11,1),(WeekStart="M")+1)+36</f>
        <v>45263</v>
      </c>
      <c r="D16" s="38">
        <v>45264</v>
      </c>
      <c r="E16" s="38">
        <v>45265</v>
      </c>
      <c r="F16" s="38">
        <v>45266</v>
      </c>
      <c r="G16" s="38">
        <v>45267</v>
      </c>
      <c r="H16" s="38">
        <v>45268</v>
      </c>
      <c r="I16" s="77">
        <v>45269</v>
      </c>
    </row>
    <row r="17" spans="2:9" s="73" customFormat="1" ht="75" customHeight="1" x14ac:dyDescent="0.15">
      <c r="B17" s="84"/>
      <c r="C17" s="111"/>
      <c r="D17" s="72"/>
      <c r="E17" s="72"/>
      <c r="F17" s="72"/>
      <c r="G17" s="72"/>
      <c r="H17" s="72"/>
      <c r="I17" s="78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5" priority="3">
      <formula>DAY(C6)&gt;8</formula>
    </cfRule>
  </conditionalFormatting>
  <conditionalFormatting sqref="C14:I17">
    <cfRule type="expression" dxfId="4" priority="2">
      <formula>AND(DAY(C14)&gt;=1,DAY(C14)&lt;=15)</formula>
    </cfRule>
  </conditionalFormatting>
  <conditionalFormatting sqref="C18">
    <cfRule type="expression" dxfId="3" priority="1">
      <formula>AND(DAY(C18)&gt;=1,DAY(C18)&lt;=15)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7" sqref="E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7"/>
      <c r="D1" s="87"/>
      <c r="E1" s="87"/>
      <c r="F1" s="87"/>
      <c r="G1" s="87"/>
      <c r="H1" s="87"/>
      <c r="I1" s="87"/>
    </row>
    <row r="2" spans="2:9" ht="75" customHeight="1" thickTop="1" x14ac:dyDescent="0.15">
      <c r="B2" s="82"/>
      <c r="C2" s="176" t="s">
        <v>40</v>
      </c>
      <c r="D2" s="176"/>
      <c r="E2" s="176"/>
      <c r="F2" s="176"/>
      <c r="G2" s="176"/>
      <c r="H2" s="176"/>
      <c r="I2" s="177"/>
    </row>
    <row r="3" spans="2:9" ht="20" customHeight="1" x14ac:dyDescent="0.3">
      <c r="B3" s="82"/>
      <c r="C3" s="64"/>
      <c r="D3" s="65"/>
      <c r="E3" s="65"/>
      <c r="F3" s="66"/>
      <c r="G3" s="20" t="s">
        <v>37</v>
      </c>
      <c r="H3" s="20" t="s">
        <v>38</v>
      </c>
      <c r="I3" s="86"/>
    </row>
    <row r="4" spans="2:9" ht="75" customHeight="1" x14ac:dyDescent="0.65">
      <c r="B4" s="82"/>
      <c r="C4" s="156">
        <f>CalendarYear</f>
        <v>2023</v>
      </c>
      <c r="D4" s="188" t="s">
        <v>39</v>
      </c>
      <c r="E4" s="188"/>
      <c r="F4" s="188"/>
      <c r="G4" s="188"/>
      <c r="H4" s="188"/>
      <c r="I4" s="155"/>
    </row>
    <row r="5" spans="2:9" ht="35" customHeight="1" x14ac:dyDescent="0.15">
      <c r="B5" s="82"/>
      <c r="C5" s="14" t="str">
        <f>WeekStart</f>
        <v>S</v>
      </c>
      <c r="D5" s="14" t="str">
        <f t="shared" ref="D5:I5" si="0">LEFT(TEXT(D6,"ddd"),1)</f>
        <v>M</v>
      </c>
      <c r="E5" s="14" t="str">
        <f t="shared" si="0"/>
        <v>T</v>
      </c>
      <c r="F5" s="14" t="str">
        <f t="shared" si="0"/>
        <v>W</v>
      </c>
      <c r="G5" s="14" t="str">
        <f t="shared" si="0"/>
        <v>T</v>
      </c>
      <c r="H5" s="14" t="str">
        <f t="shared" si="0"/>
        <v>F</v>
      </c>
      <c r="I5" s="15" t="str">
        <f t="shared" si="0"/>
        <v>S</v>
      </c>
    </row>
    <row r="6" spans="2:9" s="35" customFormat="1" ht="25" customHeight="1" x14ac:dyDescent="0.2">
      <c r="B6" s="83"/>
      <c r="C6" s="45">
        <f t="array" ref="C6:I6">DaysAndWeeks+DATE(CalendarYear,12,1)-WEEKDAY(DATE(CalendarYear,12,1),(WeekStart="M")+1)+1</f>
        <v>45256</v>
      </c>
      <c r="D6" s="38">
        <v>45257</v>
      </c>
      <c r="E6" s="38">
        <v>45258</v>
      </c>
      <c r="F6" s="38">
        <v>45259</v>
      </c>
      <c r="G6" s="36">
        <v>45260</v>
      </c>
      <c r="H6" s="36">
        <v>45261</v>
      </c>
      <c r="I6" s="75">
        <v>45262</v>
      </c>
    </row>
    <row r="7" spans="2:9" s="73" customFormat="1" ht="75" customHeight="1" x14ac:dyDescent="0.15">
      <c r="B7" s="84"/>
      <c r="C7" s="74"/>
      <c r="D7" s="72"/>
      <c r="E7" s="72"/>
      <c r="F7" s="175" t="s">
        <v>5</v>
      </c>
      <c r="G7" s="137">
        <v>0.625</v>
      </c>
      <c r="H7" s="67"/>
      <c r="I7" s="76"/>
    </row>
    <row r="8" spans="2:9" s="35" customFormat="1" ht="25" customHeight="1" x14ac:dyDescent="0.2">
      <c r="B8" s="83"/>
      <c r="C8" s="39">
        <f t="array" ref="C8:I8">DaysAndWeeks+DATE(CalendarYear,12,1)-WEEKDAY(DATE(CalendarYear,12,1),(WeekStart="M")+1)+8</f>
        <v>45263</v>
      </c>
      <c r="D8" s="36">
        <v>45264</v>
      </c>
      <c r="E8" s="39">
        <v>45265</v>
      </c>
      <c r="F8" s="36">
        <v>45266</v>
      </c>
      <c r="G8" s="36">
        <v>45267</v>
      </c>
      <c r="H8" s="36">
        <v>45268</v>
      </c>
      <c r="I8" s="75">
        <v>45269</v>
      </c>
    </row>
    <row r="9" spans="2:9" s="73" customFormat="1" ht="75" customHeight="1" x14ac:dyDescent="0.15">
      <c r="B9" s="84"/>
      <c r="C9" s="151">
        <v>0.625</v>
      </c>
      <c r="D9" s="150"/>
      <c r="E9" s="147"/>
      <c r="F9" s="150" t="s">
        <v>5</v>
      </c>
      <c r="G9" s="147"/>
      <c r="H9" s="67"/>
      <c r="I9" s="172" t="s">
        <v>5</v>
      </c>
    </row>
    <row r="10" spans="2:9" s="35" customFormat="1" ht="25" customHeight="1" x14ac:dyDescent="0.2">
      <c r="B10" s="83"/>
      <c r="C10" s="39">
        <f t="array" ref="C10:I10">DaysAndWeeks+DATE(CalendarYear,12,1)-WEEKDAY(DATE(CalendarYear,12,1),(WeekStart="M")+1)+15</f>
        <v>45270</v>
      </c>
      <c r="D10" s="36">
        <v>45271</v>
      </c>
      <c r="E10" s="36">
        <v>45272</v>
      </c>
      <c r="F10" s="36">
        <v>45273</v>
      </c>
      <c r="G10" s="36">
        <v>45274</v>
      </c>
      <c r="H10" s="36">
        <v>45275</v>
      </c>
      <c r="I10" s="75">
        <v>45276</v>
      </c>
    </row>
    <row r="11" spans="2:9" s="73" customFormat="1" ht="75" customHeight="1" x14ac:dyDescent="0.15">
      <c r="B11" s="84"/>
      <c r="C11" s="151"/>
      <c r="D11" s="150"/>
      <c r="E11" s="147"/>
      <c r="F11" s="150" t="s">
        <v>5</v>
      </c>
      <c r="G11" s="147"/>
      <c r="H11" s="67"/>
      <c r="I11" s="76"/>
    </row>
    <row r="12" spans="2:9" s="35" customFormat="1" ht="25" customHeight="1" x14ac:dyDescent="0.2">
      <c r="B12" s="83"/>
      <c r="C12" s="39">
        <f t="array" ref="C12:I12">DaysAndWeeks+DATE(CalendarYear,12,1)-WEEKDAY(DATE(CalendarYear,12,1),(WeekStart="M")+1)+22</f>
        <v>45277</v>
      </c>
      <c r="D12" s="36">
        <v>45278</v>
      </c>
      <c r="E12" s="36">
        <v>45279</v>
      </c>
      <c r="F12" s="36">
        <v>45280</v>
      </c>
      <c r="G12" s="36">
        <v>45281</v>
      </c>
      <c r="H12" s="36">
        <v>45282</v>
      </c>
      <c r="I12" s="75">
        <v>45283</v>
      </c>
    </row>
    <row r="13" spans="2:9" s="73" customFormat="1" ht="75" customHeight="1" x14ac:dyDescent="0.15">
      <c r="B13" s="84"/>
      <c r="C13" s="151" t="s">
        <v>5</v>
      </c>
      <c r="D13" s="150"/>
      <c r="E13" s="147"/>
      <c r="F13" s="150" t="s">
        <v>5</v>
      </c>
      <c r="G13" s="147"/>
      <c r="H13" s="67"/>
      <c r="I13" s="172" t="s">
        <v>5</v>
      </c>
    </row>
    <row r="14" spans="2:9" s="35" customFormat="1" ht="25" customHeight="1" x14ac:dyDescent="0.2">
      <c r="B14" s="83"/>
      <c r="C14" s="39">
        <f t="array" ref="C14:I14">DaysAndWeeks+DATE(CalendarYear,12,1)-WEEKDAY(DATE(CalendarYear,12,1),(WeekStart="M")+1)+29</f>
        <v>45284</v>
      </c>
      <c r="D14" s="36">
        <v>45285</v>
      </c>
      <c r="E14" s="36">
        <v>45286</v>
      </c>
      <c r="F14" s="36">
        <v>45287</v>
      </c>
      <c r="G14" s="36">
        <v>45288</v>
      </c>
      <c r="H14" s="36">
        <v>45289</v>
      </c>
      <c r="I14" s="75">
        <v>45290</v>
      </c>
    </row>
    <row r="15" spans="2:9" s="73" customFormat="1" ht="75" customHeight="1" x14ac:dyDescent="0.15">
      <c r="B15" s="84"/>
      <c r="C15" s="151"/>
      <c r="D15" s="150"/>
      <c r="E15" s="147"/>
      <c r="F15" s="150" t="s">
        <v>5</v>
      </c>
      <c r="G15" s="147"/>
      <c r="H15" s="67"/>
      <c r="I15" s="76"/>
    </row>
    <row r="16" spans="2:9" s="35" customFormat="1" ht="25" customHeight="1" x14ac:dyDescent="0.2">
      <c r="B16" s="83"/>
      <c r="C16" s="125">
        <f t="array" ref="C16:I16">DaysAndWeeks+DATE(CalendarYear,12,1)-WEEKDAY(DATE(CalendarYear,12,1),(WeekStart="M")+1)+36</f>
        <v>45291</v>
      </c>
      <c r="D16" s="38">
        <v>45292</v>
      </c>
      <c r="E16" s="70">
        <v>45293</v>
      </c>
      <c r="F16" s="38">
        <v>45294</v>
      </c>
      <c r="G16" s="38">
        <v>45295</v>
      </c>
      <c r="H16" s="70">
        <v>45296</v>
      </c>
      <c r="I16" s="77">
        <v>45297</v>
      </c>
    </row>
    <row r="17" spans="2:9" s="73" customFormat="1" ht="75" customHeight="1" x14ac:dyDescent="0.15">
      <c r="B17" s="84"/>
      <c r="C17" s="151" t="s">
        <v>5</v>
      </c>
      <c r="D17" s="72"/>
      <c r="E17" s="111"/>
      <c r="F17" s="175" t="s">
        <v>5</v>
      </c>
      <c r="G17" s="72"/>
      <c r="H17" s="111"/>
      <c r="I17" s="78"/>
    </row>
    <row r="18" spans="2:9" ht="125" customHeight="1" thickBot="1" x14ac:dyDescent="0.2">
      <c r="B18" s="82"/>
      <c r="C18" s="178" t="s">
        <v>6</v>
      </c>
      <c r="D18" s="179"/>
      <c r="E18" s="179"/>
      <c r="F18" s="179"/>
      <c r="G18" s="179"/>
      <c r="H18" s="179"/>
      <c r="I18" s="180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" priority="3">
      <formula>DAY(C6)&gt;8</formula>
    </cfRule>
  </conditionalFormatting>
  <conditionalFormatting sqref="C14:I17">
    <cfRule type="expression" dxfId="1" priority="2">
      <formula>AND(DAY(C14)&gt;=1,DAY(C14)&lt;=15)</formula>
    </cfRule>
  </conditionalFormatting>
  <conditionalFormatting sqref="C18">
    <cfRule type="expression" dxfId="0" priority="1">
      <formula>AND(DAY(C18)&gt;=1,DAY(C18)&lt;=15)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D3B50-9C06-4B6A-9259-B343EDB2991B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2.xml><?xml version="1.0" encoding="utf-8"?>
<ds:datastoreItem xmlns:ds="http://schemas.openxmlformats.org/officeDocument/2006/customXml" ds:itemID="{790B4DF4-62C3-472A-91EF-ADB8F24E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B487B-88F4-4225-8978-8862783E5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Microsoft Office User</cp:lastModifiedBy>
  <cp:revision/>
  <dcterms:created xsi:type="dcterms:W3CDTF">2016-11-11T22:25:27Z</dcterms:created>
  <dcterms:modified xsi:type="dcterms:W3CDTF">2023-05-05T20:42:39Z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