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sklemp/Desktop/Marketing/SEO/Susan Urban - 02 2022/SEO - Susan Urban/Custody Pillar/Breakout Posts/Templates/FINALS/"/>
    </mc:Choice>
  </mc:AlternateContent>
  <xr:revisionPtr revIDLastSave="0" documentId="13_ncr:1_{FFBE0D69-9B44-554E-9920-9450FE82E675}" xr6:coauthVersionLast="47" xr6:coauthVersionMax="47" xr10:uidLastSave="{00000000-0000-0000-0000-000000000000}"/>
  <bookViews>
    <workbookView xWindow="0" yWindow="760" windowWidth="31000" windowHeight="2028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4" i="2" l="1"/>
  <c r="C16" i="3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6" i="3"/>
  <c r="F5" i="3" s="1"/>
  <c r="C6" i="12"/>
  <c r="F6" i="12"/>
  <c r="F5" i="12" s="1"/>
  <c r="D6" i="7"/>
  <c r="D5" i="7" s="1"/>
  <c r="C6" i="7"/>
  <c r="E6" i="10"/>
  <c r="E5" i="10" s="1"/>
  <c r="G14" i="4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H16" i="11" s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 s="1"/>
  <c r="C16" i="4" a="1"/>
  <c r="C6" i="2" a="1"/>
  <c r="C8" i="5" a="1"/>
  <c r="C16" i="5" a="1"/>
  <c r="C16" i="9" a="1"/>
  <c r="C12" i="10" a="1"/>
  <c r="C14" i="11" a="1"/>
  <c r="H14" i="11" s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10" i="11"/>
  <c r="D12" i="11"/>
  <c r="F12" i="11" l="1"/>
  <c r="C12" i="11"/>
  <c r="E12" i="11"/>
  <c r="E6" i="11"/>
  <c r="E5" i="11" s="1"/>
  <c r="H6" i="3"/>
  <c r="H5" i="3" s="1"/>
  <c r="H10" i="11"/>
  <c r="C10" i="11"/>
  <c r="D10" i="11"/>
  <c r="H8" i="11"/>
  <c r="E10" i="11"/>
  <c r="G10" i="11"/>
  <c r="H14" i="4"/>
  <c r="D16" i="11"/>
  <c r="E14" i="4"/>
  <c r="E6" i="3"/>
  <c r="E5" i="3" s="1"/>
  <c r="E16" i="11"/>
  <c r="G14" i="3"/>
  <c r="D14" i="3"/>
  <c r="G14" i="7"/>
  <c r="F14" i="3"/>
  <c r="F16" i="11"/>
  <c r="F14" i="11"/>
  <c r="G16" i="11"/>
  <c r="I14" i="3"/>
  <c r="H14" i="7"/>
  <c r="H14" i="3"/>
  <c r="I6" i="12"/>
  <c r="I5" i="12" s="1"/>
  <c r="F14" i="13"/>
  <c r="E14" i="11"/>
  <c r="C14" i="11"/>
  <c r="G14" i="11"/>
  <c r="F6" i="7"/>
  <c r="F5" i="7" s="1"/>
  <c r="E6" i="7"/>
  <c r="E5" i="7" s="1"/>
  <c r="E16" i="6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<sst xmlns="http://schemas.openxmlformats.org/spreadsheetml/2006/main" count="65" uniqueCount="42">
  <si>
    <t>50/50 2-2-5-5 Parenting Schedule</t>
  </si>
  <si>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</si>
  <si>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</si>
  <si>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</si>
  <si>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</si>
  <si>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</si>
  <si>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t>v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</si>
  <si>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</si>
  <si>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</si>
  <si>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</si>
  <si>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</si>
  <si>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</si>
  <si>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</si>
  <si>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</si>
  <si>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</si>
  <si>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</si>
  <si>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</si>
  <si>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</si>
  <si>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</si>
  <si>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</si>
  <si>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</si>
  <si>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</si>
  <si>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</si>
  <si>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</si>
  <si>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</si>
  <si>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</si>
  <si>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</si>
  <si>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</si>
  <si>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</si>
  <si>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</si>
  <si>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</si>
  <si>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</si>
  <si>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</si>
  <si>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</si>
  <si>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</si>
  <si>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</si>
  <si>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</si>
  <si>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</si>
  <si>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</si>
  <si>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</si>
  <si>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</si>
  <si>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3;00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</si>
</sst>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3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14"/>
      <color rgb="FFFF0000"/>
      <name val="Montserrat Regular"/>
    </font>
    <font>
      <sz val="9"/>
      <color theme="1" tint="0.34998626667073579"/>
      <name val="Montserrat Regular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93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18" fontId="11" fillId="5" borderId="9" xfId="11" applyNumberFormat="1" applyFont="1" applyFill="1" applyBorder="1" applyAlignment="1">
      <alignment horizontal="left" vertical="top" wrapTex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0" fontId="13" fillId="3" borderId="24" xfId="11" applyFont="1" applyFill="1" applyBorder="1">
      <alignment horizontal="left" vertical="top" wrapText="1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7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3" fillId="3" borderId="12" xfId="11" applyFont="1" applyFill="1" applyBorder="1" applyAlignment="1">
      <alignment horizontal="left" vertical="top" wrapText="1"/>
    </xf>
    <xf numFmtId="0" fontId="34" fillId="2" borderId="0" xfId="7" applyFont="1" applyFill="1" applyBorder="1">
      <alignment horizontal="left"/>
    </xf>
    <xf numFmtId="0" fontId="35" fillId="2" borderId="0" xfId="5" applyFont="1" applyFill="1">
      <alignment horizontal="center" vertical="top"/>
    </xf>
    <xf numFmtId="0" fontId="36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5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33" fillId="3" borderId="0" xfId="11" applyFont="1" applyFill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7" fillId="2" borderId="0" xfId="5" applyFont="1" applyFill="1">
      <alignment horizontal="center" vertical="top"/>
    </xf>
    <xf numFmtId="0" fontId="38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7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5" fontId="11" fillId="5" borderId="9" xfId="11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9" fontId="11" fillId="0" borderId="24" xfId="11" applyNumberFormat="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39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0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65" fontId="11" fillId="0" borderId="11" xfId="0" applyNumberFormat="1" applyFont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center" vertical="top" wrapText="1"/>
    </xf>
    <xf numFmtId="18" fontId="11" fillId="3" borderId="9" xfId="0" applyNumberFormat="1" applyFont="1" applyFill="1" applyBorder="1" applyAlignment="1">
      <alignment horizontal="center" vertical="top" wrapText="1"/>
    </xf>
    <xf numFmtId="0" fontId="12" fillId="3" borderId="9" xfId="0" applyFont="1" applyFill="1" applyBorder="1">
      <alignment horizontal="left" vertical="top" wrapText="1" indent="1"/>
    </xf>
    <xf numFmtId="0" fontId="12" fillId="3" borderId="16" xfId="0" applyFont="1" applyFill="1" applyBorder="1">
      <alignment horizontal="left" vertical="top" wrapText="1" indent="1"/>
    </xf>
    <xf numFmtId="18" fontId="11" fillId="3" borderId="17" xfId="11" applyNumberFormat="1" applyFont="1" applyFill="1" applyBorder="1" applyAlignment="1">
      <alignment horizontal="center" vertical="top" wrapText="1"/>
    </xf>
    <xf numFmtId="164" fontId="23" fillId="3" borderId="13" xfId="4" applyFont="1" applyFill="1" applyBorder="1">
      <alignment horizontal="left" indent="1"/>
    </xf>
    <xf numFmtId="164" fontId="30" fillId="5" borderId="8" xfId="4" applyFont="1" applyFill="1" applyBorder="1">
      <alignment horizontal="left" indent="1"/>
    </xf>
    <xf numFmtId="164" fontId="41" fillId="3" borderId="8" xfId="4" applyFont="1" applyFill="1" applyBorder="1">
      <alignment horizontal="left" indent="1"/>
    </xf>
    <xf numFmtId="164" fontId="27" fillId="5" borderId="25" xfId="4" applyFont="1" applyFill="1" applyBorder="1">
      <alignment horizontal="left" indent="1"/>
    </xf>
    <xf numFmtId="164" fontId="27" fillId="5" borderId="26" xfId="4" applyFont="1" applyFill="1" applyBorder="1">
      <alignment horizontal="left" indent="1"/>
    </xf>
    <xf numFmtId="0" fontId="13" fillId="5" borderId="15" xfId="11" applyFont="1" applyFill="1" applyBorder="1">
      <alignment horizontal="left" vertical="top" wrapText="1" indent="1"/>
    </xf>
    <xf numFmtId="18" fontId="11" fillId="3" borderId="30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  <xf numFmtId="0" fontId="11" fillId="5" borderId="9" xfId="11" applyFont="1" applyFill="1" applyBorder="1" applyAlignment="1">
      <alignment horizontal="left" vertical="top" wrapText="1"/>
    </xf>
    <xf numFmtId="0" fontId="33" fillId="5" borderId="16" xfId="11" applyFont="1" applyFill="1" applyBorder="1" applyAlignment="1">
      <alignment horizontal="left" vertical="top" wrapText="1"/>
    </xf>
    <xf numFmtId="164" fontId="27" fillId="5" borderId="14" xfId="4" applyFont="1" applyFill="1" applyBorder="1">
      <alignment horizontal="left" indent="1"/>
    </xf>
    <xf numFmtId="19" fontId="11" fillId="3" borderId="24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9" xfId="11" applyFont="1" applyFill="1" applyBorder="1">
      <alignment horizontal="left" vertical="top" wrapText="1" indent="1"/>
    </xf>
    <xf numFmtId="0" fontId="11" fillId="3" borderId="16" xfId="11" applyFont="1" applyFill="1" applyBorder="1">
      <alignment horizontal="left" vertical="top" wrapText="1" inden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  <xf numFmtId="18" fontId="12" fillId="0" borderId="12" xfId="0" applyNumberFormat="1" applyFont="1" applyBorder="1" applyAlignment="1">
      <alignment horizontal="center" vertical="top" wrapText="1"/>
    </xf>
    <xf numFmtId="18" fontId="12" fillId="5" borderId="9" xfId="11" applyNumberFormat="1" applyFont="1" applyFill="1" applyBorder="1" applyAlignment="1">
      <alignment horizontal="center" vertical="top" wrapText="1"/>
    </xf>
    <xf numFmtId="18" fontId="42" fillId="0" borderId="12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left" vertical="top" wrapText="1"/>
    </xf>
    <xf numFmtId="18" fontId="33" fillId="5" borderId="24" xfId="11" applyNumberFormat="1" applyFont="1" applyFill="1" applyBorder="1" applyAlignment="1">
      <alignment horizontal="center" vertical="top" wrapText="1"/>
    </xf>
    <xf numFmtId="18" fontId="33" fillId="0" borderId="0" xfId="11" applyNumberFormat="1" applyFont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left" vertical="top" wrapText="1"/>
    </xf>
    <xf numFmtId="165" fontId="33" fillId="0" borderId="9" xfId="11" applyNumberFormat="1" applyFont="1" applyBorder="1" applyAlignment="1">
      <alignment horizontal="center" vertical="top" wrapText="1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1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E8390"/>
      <color rgb="FF8FC6E2"/>
      <color rgb="FF172743"/>
      <color rgb="FFCFAA49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55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55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55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55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55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55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55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55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55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https://join.ourfamilywizard.com/app/join/signup?utm_source=ps_template&amp;utm_medium=download&amp;utm_campaign=5050_2255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5050_225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1240465</xdr:colOff>
      <xdr:row>8</xdr:row>
      <xdr:rowOff>189948</xdr:rowOff>
    </xdr:from>
    <xdr:to>
      <xdr:col>9</xdr:col>
      <xdr:colOff>17116</xdr:colOff>
      <xdr:row>8</xdr:row>
      <xdr:rowOff>472558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5313000-F0F1-F149-AE0A-3EE9547FDB81}"/>
            </a:ext>
          </a:extLst>
        </xdr:cNvPr>
        <xdr:cNvSpPr txBox="1"/>
      </xdr:nvSpPr>
      <xdr:spPr>
        <a:xfrm>
          <a:off x="9214884" y="4605413"/>
          <a:ext cx="8700372" cy="28261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1233967</xdr:colOff>
      <xdr:row>10</xdr:row>
      <xdr:rowOff>193121</xdr:rowOff>
    </xdr:from>
    <xdr:to>
      <xdr:col>7</xdr:col>
      <xdr:colOff>1329070</xdr:colOff>
      <xdr:row>10</xdr:row>
      <xdr:rowOff>546395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BC5F1F6-EA57-994F-8904-30FD2F6C80F9}"/>
            </a:ext>
          </a:extLst>
        </xdr:cNvPr>
        <xdr:cNvSpPr txBox="1"/>
      </xdr:nvSpPr>
      <xdr:spPr>
        <a:xfrm>
          <a:off x="9208386" y="5893354"/>
          <a:ext cx="5056963" cy="35327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1314302</xdr:colOff>
      <xdr:row>10</xdr:row>
      <xdr:rowOff>191976</xdr:rowOff>
    </xdr:from>
    <xdr:to>
      <xdr:col>9</xdr:col>
      <xdr:colOff>4417</xdr:colOff>
      <xdr:row>10</xdr:row>
      <xdr:rowOff>546395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1B95BF3-F3F6-2D45-9D69-02890F56BDAC}"/>
            </a:ext>
          </a:extLst>
        </xdr:cNvPr>
        <xdr:cNvSpPr txBox="1"/>
      </xdr:nvSpPr>
      <xdr:spPr>
        <a:xfrm>
          <a:off x="14250581" y="5892209"/>
          <a:ext cx="3651976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1225697</xdr:colOff>
      <xdr:row>12</xdr:row>
      <xdr:rowOff>164549</xdr:rowOff>
    </xdr:from>
    <xdr:to>
      <xdr:col>8</xdr:col>
      <xdr:colOff>2468217</xdr:colOff>
      <xdr:row>12</xdr:row>
      <xdr:rowOff>502093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07ABA7F-6206-EF48-9E03-6B42AB226B9B}"/>
            </a:ext>
          </a:extLst>
        </xdr:cNvPr>
        <xdr:cNvSpPr txBox="1"/>
      </xdr:nvSpPr>
      <xdr:spPr>
        <a:xfrm>
          <a:off x="9200116" y="7149549"/>
          <a:ext cx="8685310" cy="33754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1107557</xdr:colOff>
      <xdr:row>14</xdr:row>
      <xdr:rowOff>179458</xdr:rowOff>
    </xdr:from>
    <xdr:to>
      <xdr:col>5</xdr:col>
      <xdr:colOff>29533</xdr:colOff>
      <xdr:row>14</xdr:row>
      <xdr:rowOff>502093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4120115" y="8449225"/>
          <a:ext cx="3883837" cy="32263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515624</xdr:colOff>
      <xdr:row>1</xdr:row>
      <xdr:rowOff>502559</xdr:rowOff>
    </xdr:from>
    <xdr:to>
      <xdr:col>8</xdr:col>
      <xdr:colOff>1968500</xdr:colOff>
      <xdr:row>3</xdr:row>
      <xdr:rowOff>406400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96D583-087E-0BC7-BBA2-8B5C682E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8024" y="693059"/>
          <a:ext cx="1452876" cy="1110341"/>
        </a:xfrm>
        <a:prstGeom prst="rect">
          <a:avLst/>
        </a:prstGeom>
      </xdr:spPr>
    </xdr:pic>
    <xdr:clientData/>
  </xdr:twoCellAnchor>
  <xdr:twoCellAnchor>
    <xdr:from>
      <xdr:col>2</xdr:col>
      <xdr:colOff>885</xdr:colOff>
      <xdr:row>8</xdr:row>
      <xdr:rowOff>186267</xdr:rowOff>
    </xdr:from>
    <xdr:to>
      <xdr:col>5</xdr:col>
      <xdr:colOff>1240465</xdr:colOff>
      <xdr:row>8</xdr:row>
      <xdr:rowOff>472558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2513" y="4601732"/>
          <a:ext cx="8682371" cy="28629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25399</xdr:colOff>
      <xdr:row>10</xdr:row>
      <xdr:rowOff>177800</xdr:rowOff>
    </xdr:from>
    <xdr:to>
      <xdr:col>3</xdr:col>
      <xdr:colOff>1240465</xdr:colOff>
      <xdr:row>10</xdr:row>
      <xdr:rowOff>516860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3C9AFA-9B4A-EB4E-A19C-7AA86AF38E57}"/>
            </a:ext>
          </a:extLst>
        </xdr:cNvPr>
        <xdr:cNvSpPr txBox="1"/>
      </xdr:nvSpPr>
      <xdr:spPr>
        <a:xfrm>
          <a:off x="557027" y="5878033"/>
          <a:ext cx="3695996" cy="33906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885</xdr:colOff>
      <xdr:row>12</xdr:row>
      <xdr:rowOff>160867</xdr:rowOff>
    </xdr:from>
    <xdr:to>
      <xdr:col>5</xdr:col>
      <xdr:colOff>1225697</xdr:colOff>
      <xdr:row>12</xdr:row>
      <xdr:rowOff>516860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7E4A5-F510-D64B-A036-F4C156A06E68}"/>
            </a:ext>
          </a:extLst>
        </xdr:cNvPr>
        <xdr:cNvSpPr txBox="1"/>
      </xdr:nvSpPr>
      <xdr:spPr>
        <a:xfrm>
          <a:off x="532513" y="7145867"/>
          <a:ext cx="8667603" cy="35599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3</xdr:col>
      <xdr:colOff>1122326</xdr:colOff>
      <xdr:row>14</xdr:row>
      <xdr:rowOff>487326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458F8-F431-0247-B01A-DD11D15F77A8}"/>
            </a:ext>
          </a:extLst>
        </xdr:cNvPr>
        <xdr:cNvSpPr txBox="1"/>
      </xdr:nvSpPr>
      <xdr:spPr>
        <a:xfrm>
          <a:off x="557027" y="8447567"/>
          <a:ext cx="3577857" cy="30952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1172239</xdr:colOff>
      <xdr:row>6</xdr:row>
      <xdr:rowOff>177210</xdr:rowOff>
    </xdr:from>
    <xdr:to>
      <xdr:col>5</xdr:col>
      <xdr:colOff>1343837</xdr:colOff>
      <xdr:row>6</xdr:row>
      <xdr:rowOff>487326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75E6D1-3FD2-6242-9620-FBF93179FDD8}"/>
            </a:ext>
          </a:extLst>
        </xdr:cNvPr>
        <xdr:cNvSpPr txBox="1"/>
      </xdr:nvSpPr>
      <xdr:spPr>
        <a:xfrm>
          <a:off x="4184797" y="3307908"/>
          <a:ext cx="5133459" cy="31011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14768</xdr:colOff>
      <xdr:row>6</xdr:row>
      <xdr:rowOff>181934</xdr:rowOff>
    </xdr:from>
    <xdr:to>
      <xdr:col>3</xdr:col>
      <xdr:colOff>1166628</xdr:colOff>
      <xdr:row>6</xdr:row>
      <xdr:rowOff>487326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3011B8-4A65-2E49-AC39-C57B7492CCE7}"/>
            </a:ext>
          </a:extLst>
        </xdr:cNvPr>
        <xdr:cNvSpPr txBox="1"/>
      </xdr:nvSpPr>
      <xdr:spPr>
        <a:xfrm>
          <a:off x="546396" y="3312632"/>
          <a:ext cx="3632790" cy="30539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1333796</xdr:colOff>
      <xdr:row>6</xdr:row>
      <xdr:rowOff>181934</xdr:rowOff>
    </xdr:from>
    <xdr:to>
      <xdr:col>7</xdr:col>
      <xdr:colOff>1240466</xdr:colOff>
      <xdr:row>6</xdr:row>
      <xdr:rowOff>487325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07BB069-4E72-9145-9588-B726B377F75E}"/>
            </a:ext>
          </a:extLst>
        </xdr:cNvPr>
        <xdr:cNvSpPr txBox="1"/>
      </xdr:nvSpPr>
      <xdr:spPr>
        <a:xfrm>
          <a:off x="9308215" y="3312632"/>
          <a:ext cx="4868530" cy="30539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1240465</xdr:colOff>
      <xdr:row>6</xdr:row>
      <xdr:rowOff>181936</xdr:rowOff>
    </xdr:from>
    <xdr:to>
      <xdr:col>9</xdr:col>
      <xdr:colOff>14767</xdr:colOff>
      <xdr:row>6</xdr:row>
      <xdr:rowOff>487325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D44FD3C-1357-854A-9A92-5F49F8771F7F}"/>
            </a:ext>
          </a:extLst>
        </xdr:cNvPr>
        <xdr:cNvSpPr txBox="1"/>
      </xdr:nvSpPr>
      <xdr:spPr>
        <a:xfrm>
          <a:off x="14176744" y="3312634"/>
          <a:ext cx="3736163" cy="30538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3</xdr:col>
      <xdr:colOff>1206501</xdr:colOff>
      <xdr:row>10</xdr:row>
      <xdr:rowOff>181935</xdr:rowOff>
    </xdr:from>
    <xdr:to>
      <xdr:col>5</xdr:col>
      <xdr:colOff>1225698</xdr:colOff>
      <xdr:row>10</xdr:row>
      <xdr:rowOff>531626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5B6482B-C259-AD4B-848E-A16D4884D9FA}"/>
            </a:ext>
          </a:extLst>
        </xdr:cNvPr>
        <xdr:cNvSpPr txBox="1"/>
      </xdr:nvSpPr>
      <xdr:spPr>
        <a:xfrm>
          <a:off x="4219059" y="5882168"/>
          <a:ext cx="4981058" cy="34969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590100</xdr:colOff>
      <xdr:row>1</xdr:row>
      <xdr:rowOff>509208</xdr:rowOff>
    </xdr:from>
    <xdr:to>
      <xdr:col>8</xdr:col>
      <xdr:colOff>2044700</xdr:colOff>
      <xdr:row>3</xdr:row>
      <xdr:rowOff>406400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811F2-3CE9-4A40-B5C8-13383D5EB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2500" y="699708"/>
          <a:ext cx="1454600" cy="1103692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13806</xdr:colOff>
      <xdr:row>8</xdr:row>
      <xdr:rowOff>177799</xdr:rowOff>
    </xdr:from>
    <xdr:to>
      <xdr:col>5</xdr:col>
      <xdr:colOff>1185333</xdr:colOff>
      <xdr:row>8</xdr:row>
      <xdr:rowOff>536222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121236-EFAB-F744-BCE6-3A34E0A84D02}"/>
            </a:ext>
          </a:extLst>
        </xdr:cNvPr>
        <xdr:cNvSpPr txBox="1"/>
      </xdr:nvSpPr>
      <xdr:spPr>
        <a:xfrm>
          <a:off x="550028" y="4608688"/>
          <a:ext cx="8622194" cy="35842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3</xdr:col>
      <xdr:colOff>1157110</xdr:colOff>
      <xdr:row>10</xdr:row>
      <xdr:rowOff>179101</xdr:rowOff>
    </xdr:from>
    <xdr:to>
      <xdr:col>5</xdr:col>
      <xdr:colOff>1213554</xdr:colOff>
      <xdr:row>10</xdr:row>
      <xdr:rowOff>522110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4B6511-D4A1-DB45-A326-18C167FC29AC}"/>
            </a:ext>
          </a:extLst>
        </xdr:cNvPr>
        <xdr:cNvSpPr txBox="1"/>
      </xdr:nvSpPr>
      <xdr:spPr>
        <a:xfrm>
          <a:off x="4176888" y="5894101"/>
          <a:ext cx="5023555" cy="3430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1185332</xdr:colOff>
      <xdr:row>8</xdr:row>
      <xdr:rowOff>177799</xdr:rowOff>
    </xdr:from>
    <xdr:to>
      <xdr:col>8</xdr:col>
      <xdr:colOff>2457172</xdr:colOff>
      <xdr:row>8</xdr:row>
      <xdr:rowOff>536222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D6DCF9A-6F94-E34A-BD25-E99B28923CFB}"/>
            </a:ext>
          </a:extLst>
        </xdr:cNvPr>
        <xdr:cNvSpPr txBox="1"/>
      </xdr:nvSpPr>
      <xdr:spPr>
        <a:xfrm>
          <a:off x="9172221" y="4608688"/>
          <a:ext cx="8722507" cy="35842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1227666</xdr:colOff>
      <xdr:row>12</xdr:row>
      <xdr:rowOff>151849</xdr:rowOff>
    </xdr:from>
    <xdr:to>
      <xdr:col>8</xdr:col>
      <xdr:colOff>2471144</xdr:colOff>
      <xdr:row>12</xdr:row>
      <xdr:rowOff>497840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8BBA2C9-E3BD-DE41-BE7B-97AABF59E0DE}"/>
            </a:ext>
          </a:extLst>
        </xdr:cNvPr>
        <xdr:cNvSpPr txBox="1"/>
      </xdr:nvSpPr>
      <xdr:spPr>
        <a:xfrm>
          <a:off x="9214555" y="7150960"/>
          <a:ext cx="8694145" cy="34599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1227666</xdr:colOff>
      <xdr:row>6</xdr:row>
      <xdr:rowOff>177799</xdr:rowOff>
    </xdr:from>
    <xdr:to>
      <xdr:col>7</xdr:col>
      <xdr:colOff>1227667</xdr:colOff>
      <xdr:row>6</xdr:row>
      <xdr:rowOff>550332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D9E5D0-98C1-5C4B-AC62-7F25EF6212FB}"/>
            </a:ext>
          </a:extLst>
        </xdr:cNvPr>
        <xdr:cNvSpPr txBox="1"/>
      </xdr:nvSpPr>
      <xdr:spPr>
        <a:xfrm>
          <a:off x="9214555" y="3324577"/>
          <a:ext cx="4967112" cy="3725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1213556</xdr:colOff>
      <xdr:row>6</xdr:row>
      <xdr:rowOff>182879</xdr:rowOff>
    </xdr:from>
    <xdr:to>
      <xdr:col>9</xdr:col>
      <xdr:colOff>8758</xdr:colOff>
      <xdr:row>6</xdr:row>
      <xdr:rowOff>550332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9EE7B51-2B08-514D-B15F-DA2EA2C8BF32}"/>
            </a:ext>
          </a:extLst>
        </xdr:cNvPr>
        <xdr:cNvSpPr txBox="1"/>
      </xdr:nvSpPr>
      <xdr:spPr>
        <a:xfrm>
          <a:off x="14167556" y="3329657"/>
          <a:ext cx="3762313" cy="36745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8141</xdr:colOff>
      <xdr:row>10</xdr:row>
      <xdr:rowOff>179101</xdr:rowOff>
    </xdr:from>
    <xdr:to>
      <xdr:col>3</xdr:col>
      <xdr:colOff>1157111</xdr:colOff>
      <xdr:row>10</xdr:row>
      <xdr:rowOff>508000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FA458A0-47F8-E649-B062-8F9D36E6AFA0}"/>
            </a:ext>
          </a:extLst>
        </xdr:cNvPr>
        <xdr:cNvSpPr txBox="1"/>
      </xdr:nvSpPr>
      <xdr:spPr>
        <a:xfrm>
          <a:off x="544363" y="5894101"/>
          <a:ext cx="3632526" cy="3288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1213554</xdr:colOff>
      <xdr:row>10</xdr:row>
      <xdr:rowOff>179101</xdr:rowOff>
    </xdr:from>
    <xdr:to>
      <xdr:col>7</xdr:col>
      <xdr:colOff>1241778</xdr:colOff>
      <xdr:row>10</xdr:row>
      <xdr:rowOff>522110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4687CB9-72C8-0341-911D-31BA6B89BF3B}"/>
            </a:ext>
          </a:extLst>
        </xdr:cNvPr>
        <xdr:cNvSpPr txBox="1"/>
      </xdr:nvSpPr>
      <xdr:spPr>
        <a:xfrm>
          <a:off x="9200443" y="5894101"/>
          <a:ext cx="4995335" cy="34300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1227667</xdr:colOff>
      <xdr:row>10</xdr:row>
      <xdr:rowOff>179101</xdr:rowOff>
    </xdr:from>
    <xdr:to>
      <xdr:col>9</xdr:col>
      <xdr:colOff>9309</xdr:colOff>
      <xdr:row>10</xdr:row>
      <xdr:rowOff>522111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43E45BB-33B2-7543-AEDF-4E136BF5E3D4}"/>
            </a:ext>
          </a:extLst>
        </xdr:cNvPr>
        <xdr:cNvSpPr txBox="1"/>
      </xdr:nvSpPr>
      <xdr:spPr>
        <a:xfrm>
          <a:off x="14181667" y="5894101"/>
          <a:ext cx="3748753" cy="34301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9938</xdr:colOff>
      <xdr:row>12</xdr:row>
      <xdr:rowOff>152952</xdr:rowOff>
    </xdr:from>
    <xdr:to>
      <xdr:col>5</xdr:col>
      <xdr:colOff>1227666</xdr:colOff>
      <xdr:row>12</xdr:row>
      <xdr:rowOff>498061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46EEB05-1D0D-FE4E-91F7-9F4B7EEF7D47}"/>
            </a:ext>
          </a:extLst>
        </xdr:cNvPr>
        <xdr:cNvSpPr txBox="1"/>
      </xdr:nvSpPr>
      <xdr:spPr>
        <a:xfrm>
          <a:off x="546160" y="7152063"/>
          <a:ext cx="8668395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27609</xdr:colOff>
      <xdr:row>14</xdr:row>
      <xdr:rowOff>179457</xdr:rowOff>
    </xdr:from>
    <xdr:to>
      <xdr:col>3</xdr:col>
      <xdr:colOff>1185333</xdr:colOff>
      <xdr:row>14</xdr:row>
      <xdr:rowOff>520701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B38BEE4-1A42-7443-ACD1-B4B3F96A2C9F}"/>
            </a:ext>
          </a:extLst>
        </xdr:cNvPr>
        <xdr:cNvSpPr txBox="1"/>
      </xdr:nvSpPr>
      <xdr:spPr>
        <a:xfrm>
          <a:off x="563831" y="8462679"/>
          <a:ext cx="3641280" cy="34124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1185333</xdr:colOff>
      <xdr:row>14</xdr:row>
      <xdr:rowOff>177800</xdr:rowOff>
    </xdr:from>
    <xdr:to>
      <xdr:col>5</xdr:col>
      <xdr:colOff>28222</xdr:colOff>
      <xdr:row>14</xdr:row>
      <xdr:rowOff>523462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5BB7C74-DE63-044D-970D-CC6AFBA254EC}"/>
            </a:ext>
          </a:extLst>
        </xdr:cNvPr>
        <xdr:cNvSpPr txBox="1"/>
      </xdr:nvSpPr>
      <xdr:spPr>
        <a:xfrm>
          <a:off x="4205111" y="8461022"/>
          <a:ext cx="3810000" cy="34566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14110</xdr:colOff>
      <xdr:row>6</xdr:row>
      <xdr:rowOff>177799</xdr:rowOff>
    </xdr:from>
    <xdr:to>
      <xdr:col>5</xdr:col>
      <xdr:colOff>1214781</xdr:colOff>
      <xdr:row>6</xdr:row>
      <xdr:rowOff>550332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7E7BE3-86BE-CA4D-A799-7C7B1DBE2D7C}"/>
            </a:ext>
          </a:extLst>
        </xdr:cNvPr>
        <xdr:cNvSpPr txBox="1"/>
      </xdr:nvSpPr>
      <xdr:spPr>
        <a:xfrm>
          <a:off x="8000999" y="3324577"/>
          <a:ext cx="1200671" cy="3725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621397</xdr:colOff>
      <xdr:row>1</xdr:row>
      <xdr:rowOff>508000</xdr:rowOff>
    </xdr:from>
    <xdr:to>
      <xdr:col>8</xdr:col>
      <xdr:colOff>2077589</xdr:colOff>
      <xdr:row>3</xdr:row>
      <xdr:rowOff>406400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C96B1FE-B8FA-F045-BBE4-8FFA74CE7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13797" y="6985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25400</xdr:colOff>
      <xdr:row>8</xdr:row>
      <xdr:rowOff>190500</xdr:rowOff>
    </xdr:from>
    <xdr:to>
      <xdr:col>5</xdr:col>
      <xdr:colOff>1236133</xdr:colOff>
      <xdr:row>8</xdr:row>
      <xdr:rowOff>558800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567267" y="4559300"/>
          <a:ext cx="8627533" cy="3683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5</xdr:col>
      <xdr:colOff>1202266</xdr:colOff>
      <xdr:row>12</xdr:row>
      <xdr:rowOff>558800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1EDB964-7570-134E-A271-3CAF3823723E}"/>
            </a:ext>
          </a:extLst>
        </xdr:cNvPr>
        <xdr:cNvSpPr txBox="1"/>
      </xdr:nvSpPr>
      <xdr:spPr>
        <a:xfrm>
          <a:off x="554567" y="7073900"/>
          <a:ext cx="8606366" cy="3937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1354667</xdr:colOff>
      <xdr:row>14</xdr:row>
      <xdr:rowOff>177799</xdr:rowOff>
    </xdr:from>
    <xdr:to>
      <xdr:col>5</xdr:col>
      <xdr:colOff>1236133</xdr:colOff>
      <xdr:row>14</xdr:row>
      <xdr:rowOff>558800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4368800" y="8356599"/>
          <a:ext cx="4826000" cy="38100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1354666</xdr:colOff>
      <xdr:row>10</xdr:row>
      <xdr:rowOff>177800</xdr:rowOff>
    </xdr:from>
    <xdr:to>
      <xdr:col>5</xdr:col>
      <xdr:colOff>1219199</xdr:colOff>
      <xdr:row>10</xdr:row>
      <xdr:rowOff>524934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4368799" y="5816600"/>
          <a:ext cx="4809067" cy="34713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1236133</xdr:colOff>
      <xdr:row>8</xdr:row>
      <xdr:rowOff>190500</xdr:rowOff>
    </xdr:from>
    <xdr:to>
      <xdr:col>8</xdr:col>
      <xdr:colOff>2463800</xdr:colOff>
      <xdr:row>8</xdr:row>
      <xdr:rowOff>558800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37F299-D486-F14B-9A47-7355099B919B}"/>
            </a:ext>
          </a:extLst>
        </xdr:cNvPr>
        <xdr:cNvSpPr txBox="1"/>
      </xdr:nvSpPr>
      <xdr:spPr>
        <a:xfrm>
          <a:off x="9194800" y="4559300"/>
          <a:ext cx="8644467" cy="3683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1202266</xdr:colOff>
      <xdr:row>12</xdr:row>
      <xdr:rowOff>165099</xdr:rowOff>
    </xdr:from>
    <xdr:to>
      <xdr:col>8</xdr:col>
      <xdr:colOff>2463800</xdr:colOff>
      <xdr:row>12</xdr:row>
      <xdr:rowOff>558800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B870F9-5DA9-B143-8815-07A855DA386E}"/>
            </a:ext>
          </a:extLst>
        </xdr:cNvPr>
        <xdr:cNvSpPr txBox="1"/>
      </xdr:nvSpPr>
      <xdr:spPr>
        <a:xfrm>
          <a:off x="9160933" y="7073899"/>
          <a:ext cx="8678334" cy="3937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14</xdr:row>
      <xdr:rowOff>177799</xdr:rowOff>
    </xdr:from>
    <xdr:to>
      <xdr:col>7</xdr:col>
      <xdr:colOff>965200</xdr:colOff>
      <xdr:row>14</xdr:row>
      <xdr:rowOff>558800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174D89B-0D01-8046-8936-80F6750F6314}"/>
            </a:ext>
          </a:extLst>
        </xdr:cNvPr>
        <xdr:cNvSpPr txBox="1"/>
      </xdr:nvSpPr>
      <xdr:spPr>
        <a:xfrm>
          <a:off x="9177867" y="8356599"/>
          <a:ext cx="4690533" cy="3810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1219200</xdr:colOff>
      <xdr:row>6</xdr:row>
      <xdr:rowOff>152400</xdr:rowOff>
    </xdr:from>
    <xdr:to>
      <xdr:col>7</xdr:col>
      <xdr:colOff>1219200</xdr:colOff>
      <xdr:row>6</xdr:row>
      <xdr:rowOff>558800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F5684-5660-6645-8CB0-75F4AB6F8017}"/>
            </a:ext>
          </a:extLst>
        </xdr:cNvPr>
        <xdr:cNvSpPr txBox="1"/>
      </xdr:nvSpPr>
      <xdr:spPr>
        <a:xfrm>
          <a:off x="9177867" y="3251200"/>
          <a:ext cx="4944533" cy="4064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1219199</xdr:colOff>
      <xdr:row>6</xdr:row>
      <xdr:rowOff>152399</xdr:rowOff>
    </xdr:from>
    <xdr:to>
      <xdr:col>9</xdr:col>
      <xdr:colOff>29817</xdr:colOff>
      <xdr:row>6</xdr:row>
      <xdr:rowOff>558800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AE165E-A978-6341-AC2D-7F25F7F8E11B}"/>
            </a:ext>
          </a:extLst>
        </xdr:cNvPr>
        <xdr:cNvSpPr txBox="1"/>
      </xdr:nvSpPr>
      <xdr:spPr>
        <a:xfrm>
          <a:off x="14122399" y="3251199"/>
          <a:ext cx="3755151" cy="40640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3</xdr:col>
      <xdr:colOff>1354667</xdr:colOff>
      <xdr:row>10</xdr:row>
      <xdr:rowOff>524933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BC20610-BC4E-9444-A813-8E95D57D90A4}"/>
            </a:ext>
          </a:extLst>
        </xdr:cNvPr>
        <xdr:cNvSpPr txBox="1"/>
      </xdr:nvSpPr>
      <xdr:spPr>
        <a:xfrm>
          <a:off x="554567" y="5816600"/>
          <a:ext cx="3814233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1202266</xdr:colOff>
      <xdr:row>10</xdr:row>
      <xdr:rowOff>177800</xdr:rowOff>
    </xdr:from>
    <xdr:to>
      <xdr:col>7</xdr:col>
      <xdr:colOff>1151467</xdr:colOff>
      <xdr:row>10</xdr:row>
      <xdr:rowOff>524933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2780998-67F1-F845-A101-929BD1D6A1DA}"/>
            </a:ext>
          </a:extLst>
        </xdr:cNvPr>
        <xdr:cNvSpPr txBox="1"/>
      </xdr:nvSpPr>
      <xdr:spPr>
        <a:xfrm>
          <a:off x="9160933" y="5816600"/>
          <a:ext cx="4893734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1151467</xdr:colOff>
      <xdr:row>10</xdr:row>
      <xdr:rowOff>177800</xdr:rowOff>
    </xdr:from>
    <xdr:to>
      <xdr:col>9</xdr:col>
      <xdr:colOff>4418</xdr:colOff>
      <xdr:row>10</xdr:row>
      <xdr:rowOff>524933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272C5A-E4B2-BC44-AB33-F86A559104AB}"/>
            </a:ext>
          </a:extLst>
        </xdr:cNvPr>
        <xdr:cNvSpPr txBox="1"/>
      </xdr:nvSpPr>
      <xdr:spPr>
        <a:xfrm>
          <a:off x="14054667" y="5816600"/>
          <a:ext cx="3797484" cy="3471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3</xdr:col>
      <xdr:colOff>1354667</xdr:colOff>
      <xdr:row>14</xdr:row>
      <xdr:rowOff>558800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8656EEA-3F9C-B041-916E-8E765B20EE1B}"/>
            </a:ext>
          </a:extLst>
        </xdr:cNvPr>
        <xdr:cNvSpPr txBox="1"/>
      </xdr:nvSpPr>
      <xdr:spPr>
        <a:xfrm>
          <a:off x="567267" y="8356600"/>
          <a:ext cx="3801533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965199</xdr:colOff>
      <xdr:row>14</xdr:row>
      <xdr:rowOff>177799</xdr:rowOff>
    </xdr:from>
    <xdr:to>
      <xdr:col>8</xdr:col>
      <xdr:colOff>-1</xdr:colOff>
      <xdr:row>14</xdr:row>
      <xdr:rowOff>558800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661A5E-95F4-9B43-839F-B7C583998EC1}"/>
            </a:ext>
          </a:extLst>
        </xdr:cNvPr>
        <xdr:cNvSpPr txBox="1"/>
      </xdr:nvSpPr>
      <xdr:spPr>
        <a:xfrm>
          <a:off x="13868399" y="8356599"/>
          <a:ext cx="1507067" cy="38100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16933</xdr:colOff>
      <xdr:row>6</xdr:row>
      <xdr:rowOff>152400</xdr:rowOff>
    </xdr:from>
    <xdr:to>
      <xdr:col>5</xdr:col>
      <xdr:colOff>1217604</xdr:colOff>
      <xdr:row>6</xdr:row>
      <xdr:rowOff>575733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EE3E0B-9B2B-0149-9A8D-AD5D8240BAFB}"/>
            </a:ext>
          </a:extLst>
        </xdr:cNvPr>
        <xdr:cNvSpPr txBox="1"/>
      </xdr:nvSpPr>
      <xdr:spPr>
        <a:xfrm>
          <a:off x="7975600" y="3251200"/>
          <a:ext cx="1200671" cy="4233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563109</xdr:colOff>
      <xdr:row>1</xdr:row>
      <xdr:rowOff>508000</xdr:rowOff>
    </xdr:from>
    <xdr:to>
      <xdr:col>8</xdr:col>
      <xdr:colOff>2019301</xdr:colOff>
      <xdr:row>3</xdr:row>
      <xdr:rowOff>406400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0EE1A5-48CD-CA47-94E7-B2187824B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5509" y="6985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1299883</xdr:colOff>
      <xdr:row>8</xdr:row>
      <xdr:rowOff>177801</xdr:rowOff>
    </xdr:from>
    <xdr:to>
      <xdr:col>9</xdr:col>
      <xdr:colOff>0</xdr:colOff>
      <xdr:row>8</xdr:row>
      <xdr:rowOff>463176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9278471" y="4570507"/>
          <a:ext cx="8621058" cy="28537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1255059</xdr:colOff>
      <xdr:row>12</xdr:row>
      <xdr:rowOff>165101</xdr:rowOff>
    </xdr:from>
    <xdr:to>
      <xdr:col>8</xdr:col>
      <xdr:colOff>2463800</xdr:colOff>
      <xdr:row>12</xdr:row>
      <xdr:rowOff>493059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B0EB615E-AD14-3140-8EAA-99695CA0E578}"/>
            </a:ext>
          </a:extLst>
        </xdr:cNvPr>
        <xdr:cNvSpPr txBox="1"/>
      </xdr:nvSpPr>
      <xdr:spPr>
        <a:xfrm>
          <a:off x="9233647" y="7097807"/>
          <a:ext cx="8649447" cy="3279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1195294</xdr:colOff>
      <xdr:row>14</xdr:row>
      <xdr:rowOff>177799</xdr:rowOff>
    </xdr:from>
    <xdr:to>
      <xdr:col>7</xdr:col>
      <xdr:colOff>1419412</xdr:colOff>
      <xdr:row>14</xdr:row>
      <xdr:rowOff>522940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409737F-5E79-714E-B912-6BAE9764D5B3}"/>
            </a:ext>
          </a:extLst>
        </xdr:cNvPr>
        <xdr:cNvSpPr txBox="1"/>
      </xdr:nvSpPr>
      <xdr:spPr>
        <a:xfrm>
          <a:off x="9173882" y="8380505"/>
          <a:ext cx="5184589" cy="34514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5</xdr:col>
      <xdr:colOff>1299883</xdr:colOff>
      <xdr:row>8</xdr:row>
      <xdr:rowOff>463176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563282" y="4570506"/>
          <a:ext cx="8715189" cy="28537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10</xdr:row>
      <xdr:rowOff>177800</xdr:rowOff>
    </xdr:from>
    <xdr:to>
      <xdr:col>5</xdr:col>
      <xdr:colOff>1270000</xdr:colOff>
      <xdr:row>10</xdr:row>
      <xdr:rowOff>493059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17D6D64-9517-854F-8D09-71B0DFB3A8EE}"/>
            </a:ext>
          </a:extLst>
        </xdr:cNvPr>
        <xdr:cNvSpPr txBox="1"/>
      </xdr:nvSpPr>
      <xdr:spPr>
        <a:xfrm>
          <a:off x="4288118" y="5840506"/>
          <a:ext cx="4960470" cy="3152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165099</xdr:rowOff>
    </xdr:from>
    <xdr:to>
      <xdr:col>5</xdr:col>
      <xdr:colOff>1270000</xdr:colOff>
      <xdr:row>12</xdr:row>
      <xdr:rowOff>493058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418EC8-8403-0640-BD70-EA3AD7ACBC90}"/>
            </a:ext>
          </a:extLst>
        </xdr:cNvPr>
        <xdr:cNvSpPr txBox="1"/>
      </xdr:nvSpPr>
      <xdr:spPr>
        <a:xfrm>
          <a:off x="550582" y="7097805"/>
          <a:ext cx="8698006" cy="3279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1150470</xdr:colOff>
      <xdr:row>14</xdr:row>
      <xdr:rowOff>177800</xdr:rowOff>
    </xdr:from>
    <xdr:to>
      <xdr:col>5</xdr:col>
      <xdr:colOff>1195294</xdr:colOff>
      <xdr:row>14</xdr:row>
      <xdr:rowOff>508000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4168588" y="8380506"/>
          <a:ext cx="5005294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12700</xdr:colOff>
      <xdr:row>6</xdr:row>
      <xdr:rowOff>228600</xdr:rowOff>
    </xdr:from>
    <xdr:to>
      <xdr:col>8</xdr:col>
      <xdr:colOff>2463800</xdr:colOff>
      <xdr:row>6</xdr:row>
      <xdr:rowOff>546100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896F76-E9C6-944B-B76E-37032077EF0F}"/>
            </a:ext>
          </a:extLst>
        </xdr:cNvPr>
        <xdr:cNvSpPr txBox="1"/>
      </xdr:nvSpPr>
      <xdr:spPr>
        <a:xfrm>
          <a:off x="15405100" y="3340100"/>
          <a:ext cx="2451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177801</xdr:rowOff>
    </xdr:from>
    <xdr:to>
      <xdr:col>3</xdr:col>
      <xdr:colOff>1284941</xdr:colOff>
      <xdr:row>10</xdr:row>
      <xdr:rowOff>493059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91D553-6827-1647-AC3A-A5746B869D38}"/>
            </a:ext>
          </a:extLst>
        </xdr:cNvPr>
        <xdr:cNvSpPr txBox="1"/>
      </xdr:nvSpPr>
      <xdr:spPr>
        <a:xfrm>
          <a:off x="563282" y="5840507"/>
          <a:ext cx="3739777" cy="3152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1269999</xdr:colOff>
      <xdr:row>10</xdr:row>
      <xdr:rowOff>177800</xdr:rowOff>
    </xdr:from>
    <xdr:to>
      <xdr:col>7</xdr:col>
      <xdr:colOff>1344705</xdr:colOff>
      <xdr:row>10</xdr:row>
      <xdr:rowOff>493059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FEBC169-511B-6242-96D4-90C11DFF55C1}"/>
            </a:ext>
          </a:extLst>
        </xdr:cNvPr>
        <xdr:cNvSpPr txBox="1"/>
      </xdr:nvSpPr>
      <xdr:spPr>
        <a:xfrm>
          <a:off x="9248587" y="5840506"/>
          <a:ext cx="5035177" cy="3152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1344705</xdr:colOff>
      <xdr:row>10</xdr:row>
      <xdr:rowOff>177800</xdr:rowOff>
    </xdr:from>
    <xdr:to>
      <xdr:col>8</xdr:col>
      <xdr:colOff>2455517</xdr:colOff>
      <xdr:row>10</xdr:row>
      <xdr:rowOff>493060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E131F5-CECF-BE4D-A100-29D958C2CF26}"/>
            </a:ext>
          </a:extLst>
        </xdr:cNvPr>
        <xdr:cNvSpPr txBox="1"/>
      </xdr:nvSpPr>
      <xdr:spPr>
        <a:xfrm>
          <a:off x="14283764" y="5840506"/>
          <a:ext cx="3591047" cy="31526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3</xdr:col>
      <xdr:colOff>1150470</xdr:colOff>
      <xdr:row>14</xdr:row>
      <xdr:rowOff>493059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2071F72-7D3A-924E-8DDE-BE5C4B0F6DC8}"/>
            </a:ext>
          </a:extLst>
        </xdr:cNvPr>
        <xdr:cNvSpPr txBox="1"/>
      </xdr:nvSpPr>
      <xdr:spPr>
        <a:xfrm>
          <a:off x="550582" y="8380506"/>
          <a:ext cx="3618006" cy="3152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1419412</xdr:colOff>
      <xdr:row>14</xdr:row>
      <xdr:rowOff>177800</xdr:rowOff>
    </xdr:from>
    <xdr:to>
      <xdr:col>9</xdr:col>
      <xdr:colOff>4418</xdr:colOff>
      <xdr:row>14</xdr:row>
      <xdr:rowOff>522941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DF9BC66-49F3-714C-A018-38BF60B1C4A8}"/>
            </a:ext>
          </a:extLst>
        </xdr:cNvPr>
        <xdr:cNvSpPr txBox="1"/>
      </xdr:nvSpPr>
      <xdr:spPr>
        <a:xfrm>
          <a:off x="14358471" y="8380506"/>
          <a:ext cx="3545476" cy="34514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203200</xdr:rowOff>
    </xdr:from>
    <xdr:to>
      <xdr:col>3</xdr:col>
      <xdr:colOff>0</xdr:colOff>
      <xdr:row>16</xdr:row>
      <xdr:rowOff>520700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EF31940-3F07-DE45-9878-4E64FEBA675C}"/>
            </a:ext>
          </a:extLst>
        </xdr:cNvPr>
        <xdr:cNvSpPr txBox="1"/>
      </xdr:nvSpPr>
      <xdr:spPr>
        <a:xfrm>
          <a:off x="546100" y="9664700"/>
          <a:ext cx="246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517250</xdr:colOff>
      <xdr:row>1</xdr:row>
      <xdr:rowOff>482600</xdr:rowOff>
    </xdr:from>
    <xdr:to>
      <xdr:col>8</xdr:col>
      <xdr:colOff>1973442</xdr:colOff>
      <xdr:row>3</xdr:row>
      <xdr:rowOff>381000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00052A-D5BC-EC48-A845-2B0E3618A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9650" y="6731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2465295</xdr:colOff>
      <xdr:row>6</xdr:row>
      <xdr:rowOff>165100</xdr:rowOff>
    </xdr:from>
    <xdr:to>
      <xdr:col>5</xdr:col>
      <xdr:colOff>1210236</xdr:colOff>
      <xdr:row>6</xdr:row>
      <xdr:rowOff>537882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3003177" y="3287806"/>
          <a:ext cx="6185647" cy="37278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5</xdr:col>
      <xdr:colOff>1240118</xdr:colOff>
      <xdr:row>10</xdr:row>
      <xdr:rowOff>537882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6388E9-778B-B948-8D1F-90399B1DB8EA}"/>
            </a:ext>
          </a:extLst>
        </xdr:cNvPr>
        <xdr:cNvSpPr txBox="1"/>
      </xdr:nvSpPr>
      <xdr:spPr>
        <a:xfrm>
          <a:off x="550582" y="5840506"/>
          <a:ext cx="8668124" cy="36008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25648</xdr:colOff>
      <xdr:row>14</xdr:row>
      <xdr:rowOff>177800</xdr:rowOff>
    </xdr:from>
    <xdr:to>
      <xdr:col>5</xdr:col>
      <xdr:colOff>1180353</xdr:colOff>
      <xdr:row>14</xdr:row>
      <xdr:rowOff>463176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563530" y="8380506"/>
          <a:ext cx="8595411" cy="28537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1314823</xdr:colOff>
      <xdr:row>8</xdr:row>
      <xdr:rowOff>165099</xdr:rowOff>
    </xdr:from>
    <xdr:to>
      <xdr:col>5</xdr:col>
      <xdr:colOff>1284941</xdr:colOff>
      <xdr:row>8</xdr:row>
      <xdr:rowOff>522940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4332941" y="4557805"/>
          <a:ext cx="4930588" cy="35784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12</xdr:row>
      <xdr:rowOff>162994</xdr:rowOff>
    </xdr:from>
    <xdr:to>
      <xdr:col>5</xdr:col>
      <xdr:colOff>1299883</xdr:colOff>
      <xdr:row>12</xdr:row>
      <xdr:rowOff>478118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3504887-3815-2542-8748-D49828888F96}"/>
            </a:ext>
          </a:extLst>
        </xdr:cNvPr>
        <xdr:cNvSpPr txBox="1"/>
      </xdr:nvSpPr>
      <xdr:spPr>
        <a:xfrm>
          <a:off x="4288118" y="7095700"/>
          <a:ext cx="4990353" cy="31512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1225177</xdr:colOff>
      <xdr:row>6</xdr:row>
      <xdr:rowOff>165099</xdr:rowOff>
    </xdr:from>
    <xdr:to>
      <xdr:col>8</xdr:col>
      <xdr:colOff>2463800</xdr:colOff>
      <xdr:row>6</xdr:row>
      <xdr:rowOff>552822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E458FD-E528-F147-A3BC-DB22CC567FA8}"/>
            </a:ext>
          </a:extLst>
        </xdr:cNvPr>
        <xdr:cNvSpPr txBox="1"/>
      </xdr:nvSpPr>
      <xdr:spPr>
        <a:xfrm>
          <a:off x="9203765" y="3287805"/>
          <a:ext cx="8679329" cy="38772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1240117</xdr:colOff>
      <xdr:row>10</xdr:row>
      <xdr:rowOff>177800</xdr:rowOff>
    </xdr:from>
    <xdr:to>
      <xdr:col>8</xdr:col>
      <xdr:colOff>2480234</xdr:colOff>
      <xdr:row>10</xdr:row>
      <xdr:rowOff>537881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9218705" y="5840506"/>
          <a:ext cx="8680823" cy="36008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1180353</xdr:colOff>
      <xdr:row>14</xdr:row>
      <xdr:rowOff>182881</xdr:rowOff>
    </xdr:from>
    <xdr:to>
      <xdr:col>6</xdr:col>
      <xdr:colOff>15488</xdr:colOff>
      <xdr:row>14</xdr:row>
      <xdr:rowOff>463177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948B67A-CAE3-2E48-9238-77F443715451}"/>
            </a:ext>
          </a:extLst>
        </xdr:cNvPr>
        <xdr:cNvSpPr txBox="1"/>
      </xdr:nvSpPr>
      <xdr:spPr>
        <a:xfrm>
          <a:off x="9158941" y="8385587"/>
          <a:ext cx="1315371" cy="28029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1284941</xdr:colOff>
      <xdr:row>12</xdr:row>
      <xdr:rowOff>165099</xdr:rowOff>
    </xdr:from>
    <xdr:to>
      <xdr:col>7</xdr:col>
      <xdr:colOff>1225176</xdr:colOff>
      <xdr:row>12</xdr:row>
      <xdr:rowOff>493058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9E3DD12-86F9-8447-8943-6745779D85F3}"/>
            </a:ext>
          </a:extLst>
        </xdr:cNvPr>
        <xdr:cNvSpPr txBox="1"/>
      </xdr:nvSpPr>
      <xdr:spPr>
        <a:xfrm>
          <a:off x="9263529" y="7097805"/>
          <a:ext cx="4900706" cy="3279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165101</xdr:rowOff>
    </xdr:from>
    <xdr:to>
      <xdr:col>3</xdr:col>
      <xdr:colOff>1329764</xdr:colOff>
      <xdr:row>8</xdr:row>
      <xdr:rowOff>522941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8F753D3-A417-F347-92A0-1E32D3ECD719}"/>
            </a:ext>
          </a:extLst>
        </xdr:cNvPr>
        <xdr:cNvSpPr txBox="1"/>
      </xdr:nvSpPr>
      <xdr:spPr>
        <a:xfrm>
          <a:off x="550582" y="4557807"/>
          <a:ext cx="3797300" cy="35784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8</xdr:row>
      <xdr:rowOff>165100</xdr:rowOff>
    </xdr:from>
    <xdr:to>
      <xdr:col>7</xdr:col>
      <xdr:colOff>1210235</xdr:colOff>
      <xdr:row>8</xdr:row>
      <xdr:rowOff>522941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5CE4E04-7FF1-B947-8B34-953F16915C1C}"/>
            </a:ext>
          </a:extLst>
        </xdr:cNvPr>
        <xdr:cNvSpPr txBox="1"/>
      </xdr:nvSpPr>
      <xdr:spPr>
        <a:xfrm>
          <a:off x="9248588" y="4557806"/>
          <a:ext cx="4900706" cy="35784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1210235</xdr:colOff>
      <xdr:row>8</xdr:row>
      <xdr:rowOff>165100</xdr:rowOff>
    </xdr:from>
    <xdr:to>
      <xdr:col>9</xdr:col>
      <xdr:colOff>29818</xdr:colOff>
      <xdr:row>8</xdr:row>
      <xdr:rowOff>522942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A738161-CA81-CF4A-99C4-F6140BA01CDA}"/>
            </a:ext>
          </a:extLst>
        </xdr:cNvPr>
        <xdr:cNvSpPr txBox="1"/>
      </xdr:nvSpPr>
      <xdr:spPr>
        <a:xfrm>
          <a:off x="14149294" y="4557806"/>
          <a:ext cx="3780053" cy="35784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165101</xdr:rowOff>
    </xdr:from>
    <xdr:to>
      <xdr:col>3</xdr:col>
      <xdr:colOff>1270000</xdr:colOff>
      <xdr:row>12</xdr:row>
      <xdr:rowOff>463176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A613411-78B5-364F-A1B3-139241F134A9}"/>
            </a:ext>
          </a:extLst>
        </xdr:cNvPr>
        <xdr:cNvSpPr txBox="1"/>
      </xdr:nvSpPr>
      <xdr:spPr>
        <a:xfrm>
          <a:off x="563282" y="7097807"/>
          <a:ext cx="3724836" cy="29807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1210235</xdr:colOff>
      <xdr:row>12</xdr:row>
      <xdr:rowOff>165101</xdr:rowOff>
    </xdr:from>
    <xdr:to>
      <xdr:col>9</xdr:col>
      <xdr:colOff>76902</xdr:colOff>
      <xdr:row>12</xdr:row>
      <xdr:rowOff>493059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3093A67-2DAD-AD49-86AB-2F71B63A52B2}"/>
            </a:ext>
          </a:extLst>
        </xdr:cNvPr>
        <xdr:cNvSpPr txBox="1"/>
      </xdr:nvSpPr>
      <xdr:spPr>
        <a:xfrm>
          <a:off x="14149294" y="7097807"/>
          <a:ext cx="3827137" cy="32795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491850</xdr:colOff>
      <xdr:row>1</xdr:row>
      <xdr:rowOff>457200</xdr:rowOff>
    </xdr:from>
    <xdr:to>
      <xdr:col>8</xdr:col>
      <xdr:colOff>1948042</xdr:colOff>
      <xdr:row>3</xdr:row>
      <xdr:rowOff>355600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23F3F8-73B0-924B-B84C-C58165268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4250" y="6477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8468</xdr:colOff>
      <xdr:row>6</xdr:row>
      <xdr:rowOff>203200</xdr:rowOff>
    </xdr:from>
    <xdr:to>
      <xdr:col>9</xdr:col>
      <xdr:colOff>0</xdr:colOff>
      <xdr:row>6</xdr:row>
      <xdr:rowOff>524933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72BD9E5-F6EB-6E4C-AFF2-1D9820B27623}"/>
            </a:ext>
          </a:extLst>
        </xdr:cNvPr>
        <xdr:cNvSpPr txBox="1"/>
      </xdr:nvSpPr>
      <xdr:spPr>
        <a:xfrm>
          <a:off x="10473268" y="3335867"/>
          <a:ext cx="7433732" cy="3217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10</xdr:row>
      <xdr:rowOff>177800</xdr:rowOff>
    </xdr:from>
    <xdr:to>
      <xdr:col>9</xdr:col>
      <xdr:colOff>4232</xdr:colOff>
      <xdr:row>10</xdr:row>
      <xdr:rowOff>507999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20B1223-4B6F-784D-BC2A-5246414E3492}"/>
            </a:ext>
          </a:extLst>
        </xdr:cNvPr>
        <xdr:cNvSpPr txBox="1"/>
      </xdr:nvSpPr>
      <xdr:spPr>
        <a:xfrm>
          <a:off x="9232900" y="5829300"/>
          <a:ext cx="8640232" cy="3301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1257300</xdr:colOff>
      <xdr:row>12</xdr:row>
      <xdr:rowOff>182033</xdr:rowOff>
    </xdr:from>
    <xdr:to>
      <xdr:col>7</xdr:col>
      <xdr:colOff>1143000</xdr:colOff>
      <xdr:row>12</xdr:row>
      <xdr:rowOff>495300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B7174D0-0E7C-6840-AA45-AD264D70AA39}"/>
            </a:ext>
          </a:extLst>
        </xdr:cNvPr>
        <xdr:cNvSpPr txBox="1"/>
      </xdr:nvSpPr>
      <xdr:spPr>
        <a:xfrm>
          <a:off x="9220200" y="7103533"/>
          <a:ext cx="4838700" cy="31326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1308100</xdr:colOff>
      <xdr:row>8</xdr:row>
      <xdr:rowOff>177800</xdr:rowOff>
    </xdr:from>
    <xdr:to>
      <xdr:col>5</xdr:col>
      <xdr:colOff>1282700</xdr:colOff>
      <xdr:row>8</xdr:row>
      <xdr:rowOff>444500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4318000" y="4559300"/>
          <a:ext cx="4927600" cy="2667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8466</xdr:colOff>
      <xdr:row>10</xdr:row>
      <xdr:rowOff>177800</xdr:rowOff>
    </xdr:from>
    <xdr:to>
      <xdr:col>5</xdr:col>
      <xdr:colOff>1270000</xdr:colOff>
      <xdr:row>10</xdr:row>
      <xdr:rowOff>508000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B0D59D-83EA-674A-B7D2-A7B524812657}"/>
            </a:ext>
          </a:extLst>
        </xdr:cNvPr>
        <xdr:cNvSpPr txBox="1"/>
      </xdr:nvSpPr>
      <xdr:spPr>
        <a:xfrm>
          <a:off x="541866" y="5829300"/>
          <a:ext cx="8691034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1358900</xdr:colOff>
      <xdr:row>12</xdr:row>
      <xdr:rowOff>177799</xdr:rowOff>
    </xdr:from>
    <xdr:to>
      <xdr:col>5</xdr:col>
      <xdr:colOff>1257300</xdr:colOff>
      <xdr:row>12</xdr:row>
      <xdr:rowOff>486833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4368800" y="7099299"/>
          <a:ext cx="4851400" cy="30903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7056</xdr:colOff>
      <xdr:row>14</xdr:row>
      <xdr:rowOff>177800</xdr:rowOff>
    </xdr:from>
    <xdr:to>
      <xdr:col>5</xdr:col>
      <xdr:colOff>1244600</xdr:colOff>
      <xdr:row>14</xdr:row>
      <xdr:rowOff>508000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540456" y="8369300"/>
          <a:ext cx="8667044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14</xdr:row>
      <xdr:rowOff>177801</xdr:rowOff>
    </xdr:from>
    <xdr:to>
      <xdr:col>7</xdr:col>
      <xdr:colOff>2476499</xdr:colOff>
      <xdr:row>14</xdr:row>
      <xdr:rowOff>508001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C5C8B56-0FD3-1B4D-8F28-DAE9BE75B5D5}"/>
            </a:ext>
          </a:extLst>
        </xdr:cNvPr>
        <xdr:cNvSpPr txBox="1"/>
      </xdr:nvSpPr>
      <xdr:spPr>
        <a:xfrm>
          <a:off x="9194800" y="8369301"/>
          <a:ext cx="6197599" cy="3302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8466</xdr:colOff>
      <xdr:row>8</xdr:row>
      <xdr:rowOff>177800</xdr:rowOff>
    </xdr:from>
    <xdr:to>
      <xdr:col>3</xdr:col>
      <xdr:colOff>1295400</xdr:colOff>
      <xdr:row>8</xdr:row>
      <xdr:rowOff>444500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B0C3C0D-2666-2444-8A6F-3F8D42DEBDBB}"/>
            </a:ext>
          </a:extLst>
        </xdr:cNvPr>
        <xdr:cNvSpPr txBox="1"/>
      </xdr:nvSpPr>
      <xdr:spPr>
        <a:xfrm>
          <a:off x="541866" y="4559300"/>
          <a:ext cx="3763434" cy="2667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1282700</xdr:colOff>
      <xdr:row>8</xdr:row>
      <xdr:rowOff>177801</xdr:rowOff>
    </xdr:from>
    <xdr:to>
      <xdr:col>7</xdr:col>
      <xdr:colOff>1333500</xdr:colOff>
      <xdr:row>8</xdr:row>
      <xdr:rowOff>457200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F20B083-79F6-244A-AD4C-566F5FA3C0F9}"/>
            </a:ext>
          </a:extLst>
        </xdr:cNvPr>
        <xdr:cNvSpPr txBox="1"/>
      </xdr:nvSpPr>
      <xdr:spPr>
        <a:xfrm>
          <a:off x="9245600" y="4559301"/>
          <a:ext cx="5003800" cy="2793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1320800</xdr:colOff>
      <xdr:row>8</xdr:row>
      <xdr:rowOff>177801</xdr:rowOff>
    </xdr:from>
    <xdr:to>
      <xdr:col>9</xdr:col>
      <xdr:colOff>0</xdr:colOff>
      <xdr:row>8</xdr:row>
      <xdr:rowOff>457201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1552D78-AC6F-6845-AFB2-D769A6DA30C0}"/>
            </a:ext>
          </a:extLst>
        </xdr:cNvPr>
        <xdr:cNvSpPr txBox="1"/>
      </xdr:nvSpPr>
      <xdr:spPr>
        <a:xfrm>
          <a:off x="14236700" y="4559301"/>
          <a:ext cx="3632200" cy="2794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16933</xdr:colOff>
      <xdr:row>12</xdr:row>
      <xdr:rowOff>173567</xdr:rowOff>
    </xdr:from>
    <xdr:to>
      <xdr:col>3</xdr:col>
      <xdr:colOff>1346200</xdr:colOff>
      <xdr:row>12</xdr:row>
      <xdr:rowOff>491067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34C6A9D-9841-0543-A86D-93D61975D731}"/>
            </a:ext>
          </a:extLst>
        </xdr:cNvPr>
        <xdr:cNvSpPr txBox="1"/>
      </xdr:nvSpPr>
      <xdr:spPr>
        <a:xfrm>
          <a:off x="550333" y="7095067"/>
          <a:ext cx="3805767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1143000</xdr:colOff>
      <xdr:row>12</xdr:row>
      <xdr:rowOff>183444</xdr:rowOff>
    </xdr:from>
    <xdr:to>
      <xdr:col>9</xdr:col>
      <xdr:colOff>0</xdr:colOff>
      <xdr:row>12</xdr:row>
      <xdr:rowOff>495300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5FF2CEC-57DC-EA43-8E2A-954F4E3C3471}"/>
            </a:ext>
          </a:extLst>
        </xdr:cNvPr>
        <xdr:cNvSpPr txBox="1"/>
      </xdr:nvSpPr>
      <xdr:spPr>
        <a:xfrm>
          <a:off x="14058900" y="7104944"/>
          <a:ext cx="3810000" cy="31185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466450</xdr:colOff>
      <xdr:row>1</xdr:row>
      <xdr:rowOff>558800</xdr:rowOff>
    </xdr:from>
    <xdr:to>
      <xdr:col>8</xdr:col>
      <xdr:colOff>1922642</xdr:colOff>
      <xdr:row>3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A4CE74-61B9-B842-8D71-A9B809C71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8850" y="7493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1422400</xdr:colOff>
      <xdr:row>12</xdr:row>
      <xdr:rowOff>184593</xdr:rowOff>
    </xdr:from>
    <xdr:to>
      <xdr:col>9</xdr:col>
      <xdr:colOff>1279</xdr:colOff>
      <xdr:row>12</xdr:row>
      <xdr:rowOff>575732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8BD7ED9-C828-824E-8987-202247802BC5}"/>
            </a:ext>
          </a:extLst>
        </xdr:cNvPr>
        <xdr:cNvSpPr txBox="1"/>
      </xdr:nvSpPr>
      <xdr:spPr>
        <a:xfrm>
          <a:off x="14325600" y="7093393"/>
          <a:ext cx="3523412" cy="39113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258430</xdr:colOff>
      <xdr:row>10</xdr:row>
      <xdr:rowOff>165100</xdr:rowOff>
    </xdr:from>
    <xdr:to>
      <xdr:col>5</xdr:col>
      <xdr:colOff>1303866</xdr:colOff>
      <xdr:row>10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80F5A8-C3A5-7E41-A511-43096C23D6F1}"/>
            </a:ext>
          </a:extLst>
        </xdr:cNvPr>
        <xdr:cNvSpPr txBox="1"/>
      </xdr:nvSpPr>
      <xdr:spPr>
        <a:xfrm>
          <a:off x="529363" y="5803900"/>
          <a:ext cx="8733170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21898</xdr:colOff>
      <xdr:row>14</xdr:row>
      <xdr:rowOff>177800</xdr:rowOff>
    </xdr:from>
    <xdr:to>
      <xdr:col>5</xdr:col>
      <xdr:colOff>1253066</xdr:colOff>
      <xdr:row>14</xdr:row>
      <xdr:rowOff>558800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563765" y="8356600"/>
          <a:ext cx="8647968" cy="3810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1269999</xdr:colOff>
      <xdr:row>12</xdr:row>
      <xdr:rowOff>177209</xdr:rowOff>
    </xdr:from>
    <xdr:to>
      <xdr:col>5</xdr:col>
      <xdr:colOff>1286932</xdr:colOff>
      <xdr:row>12</xdr:row>
      <xdr:rowOff>575733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4284132" y="7086009"/>
          <a:ext cx="4961467" cy="39852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1202267</xdr:colOff>
      <xdr:row>8</xdr:row>
      <xdr:rowOff>191975</xdr:rowOff>
    </xdr:from>
    <xdr:to>
      <xdr:col>5</xdr:col>
      <xdr:colOff>1354666</xdr:colOff>
      <xdr:row>8</xdr:row>
      <xdr:rowOff>524932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4216400" y="4560775"/>
          <a:ext cx="5096933" cy="3329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1303866</xdr:colOff>
      <xdr:row>10</xdr:row>
      <xdr:rowOff>165100</xdr:rowOff>
    </xdr:from>
    <xdr:to>
      <xdr:col>8</xdr:col>
      <xdr:colOff>2466162</xdr:colOff>
      <xdr:row>10</xdr:row>
      <xdr:rowOff>508000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9262533" y="5803900"/>
          <a:ext cx="8579096" cy="3429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1354666</xdr:colOff>
      <xdr:row>8</xdr:row>
      <xdr:rowOff>199695</xdr:rowOff>
    </xdr:from>
    <xdr:to>
      <xdr:col>7</xdr:col>
      <xdr:colOff>1303867</xdr:colOff>
      <xdr:row>8</xdr:row>
      <xdr:rowOff>524933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9313333" y="4568495"/>
          <a:ext cx="4893734" cy="32523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1286932</xdr:colOff>
      <xdr:row>12</xdr:row>
      <xdr:rowOff>184591</xdr:rowOff>
    </xdr:from>
    <xdr:to>
      <xdr:col>7</xdr:col>
      <xdr:colOff>1439332</xdr:colOff>
      <xdr:row>12</xdr:row>
      <xdr:rowOff>575732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2163A74-3965-964E-B64E-A75707242AB1}"/>
            </a:ext>
          </a:extLst>
        </xdr:cNvPr>
        <xdr:cNvSpPr txBox="1"/>
      </xdr:nvSpPr>
      <xdr:spPr>
        <a:xfrm>
          <a:off x="9245599" y="7093391"/>
          <a:ext cx="5096933" cy="39114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1253066</xdr:colOff>
      <xdr:row>14</xdr:row>
      <xdr:rowOff>177799</xdr:rowOff>
    </xdr:from>
    <xdr:to>
      <xdr:col>9</xdr:col>
      <xdr:colOff>4628</xdr:colOff>
      <xdr:row>14</xdr:row>
      <xdr:rowOff>558800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7E06F3-D8F6-A949-918A-DF2C8DEAE00C}"/>
            </a:ext>
          </a:extLst>
        </xdr:cNvPr>
        <xdr:cNvSpPr txBox="1"/>
      </xdr:nvSpPr>
      <xdr:spPr>
        <a:xfrm>
          <a:off x="9211733" y="8356599"/>
          <a:ext cx="8640628" cy="3810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7384</xdr:colOff>
      <xdr:row>12</xdr:row>
      <xdr:rowOff>177799</xdr:rowOff>
    </xdr:from>
    <xdr:to>
      <xdr:col>3</xdr:col>
      <xdr:colOff>1270000</xdr:colOff>
      <xdr:row>12</xdr:row>
      <xdr:rowOff>575732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C4B1A8-E762-BB41-96C5-C9E0D7F7B66D}"/>
            </a:ext>
          </a:extLst>
        </xdr:cNvPr>
        <xdr:cNvSpPr txBox="1"/>
      </xdr:nvSpPr>
      <xdr:spPr>
        <a:xfrm>
          <a:off x="549251" y="7086599"/>
          <a:ext cx="3734882" cy="3979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10671</xdr:colOff>
      <xdr:row>6</xdr:row>
      <xdr:rowOff>289472</xdr:rowOff>
    </xdr:from>
    <xdr:to>
      <xdr:col>8</xdr:col>
      <xdr:colOff>2466162</xdr:colOff>
      <xdr:row>6</xdr:row>
      <xdr:rowOff>613103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D17C7B-44C6-EB45-A3AA-4298450AF418}"/>
            </a:ext>
          </a:extLst>
        </xdr:cNvPr>
        <xdr:cNvSpPr txBox="1"/>
      </xdr:nvSpPr>
      <xdr:spPr>
        <a:xfrm>
          <a:off x="15383578" y="3398019"/>
          <a:ext cx="2455491" cy="32363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7384</xdr:colOff>
      <xdr:row>8</xdr:row>
      <xdr:rowOff>189185</xdr:rowOff>
    </xdr:from>
    <xdr:to>
      <xdr:col>3</xdr:col>
      <xdr:colOff>1202267</xdr:colOff>
      <xdr:row>8</xdr:row>
      <xdr:rowOff>524932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43E768B-C011-5A4B-AA44-EFA6ECDAF9F4}"/>
            </a:ext>
          </a:extLst>
        </xdr:cNvPr>
        <xdr:cNvSpPr txBox="1"/>
      </xdr:nvSpPr>
      <xdr:spPr>
        <a:xfrm>
          <a:off x="549251" y="4557985"/>
          <a:ext cx="3667149" cy="3357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1303867</xdr:colOff>
      <xdr:row>8</xdr:row>
      <xdr:rowOff>199359</xdr:rowOff>
    </xdr:from>
    <xdr:to>
      <xdr:col>9</xdr:col>
      <xdr:colOff>1280</xdr:colOff>
      <xdr:row>8</xdr:row>
      <xdr:rowOff>541866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298D16E-B998-984B-809D-FC99BD05E92F}"/>
            </a:ext>
          </a:extLst>
        </xdr:cNvPr>
        <xdr:cNvSpPr txBox="1"/>
      </xdr:nvSpPr>
      <xdr:spPr>
        <a:xfrm>
          <a:off x="14207067" y="4568159"/>
          <a:ext cx="3641946" cy="34250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6980</xdr:colOff>
      <xdr:row>16</xdr:row>
      <xdr:rowOff>212829</xdr:rowOff>
    </xdr:from>
    <xdr:to>
      <xdr:col>3</xdr:col>
      <xdr:colOff>1049867</xdr:colOff>
      <xdr:row>16</xdr:row>
      <xdr:rowOff>575733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D32C872-FACE-FD47-B9AD-407559D33479}"/>
            </a:ext>
          </a:extLst>
        </xdr:cNvPr>
        <xdr:cNvSpPr txBox="1"/>
      </xdr:nvSpPr>
      <xdr:spPr>
        <a:xfrm>
          <a:off x="548847" y="9661629"/>
          <a:ext cx="3515153" cy="36290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1049867</xdr:colOff>
      <xdr:row>16</xdr:row>
      <xdr:rowOff>212982</xdr:rowOff>
    </xdr:from>
    <xdr:to>
      <xdr:col>4</xdr:col>
      <xdr:colOff>15777</xdr:colOff>
      <xdr:row>16</xdr:row>
      <xdr:rowOff>558800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00D737F-AE57-1249-B761-83F3ACF526CB}"/>
            </a:ext>
          </a:extLst>
        </xdr:cNvPr>
        <xdr:cNvSpPr txBox="1"/>
      </xdr:nvSpPr>
      <xdr:spPr>
        <a:xfrm>
          <a:off x="4064000" y="9661782"/>
          <a:ext cx="1438177" cy="3458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517250</xdr:colOff>
      <xdr:row>1</xdr:row>
      <xdr:rowOff>457200</xdr:rowOff>
    </xdr:from>
    <xdr:to>
      <xdr:col>8</xdr:col>
      <xdr:colOff>1973442</xdr:colOff>
      <xdr:row>3</xdr:row>
      <xdr:rowOff>355600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98200A-28EA-E04F-9321-139663225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9650" y="6477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1067954</xdr:colOff>
      <xdr:row>10</xdr:row>
      <xdr:rowOff>245533</xdr:rowOff>
    </xdr:from>
    <xdr:to>
      <xdr:col>7</xdr:col>
      <xdr:colOff>1168977</xdr:colOff>
      <xdr:row>10</xdr:row>
      <xdr:rowOff>577272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8C63E75-C2FB-EA4C-99EA-AB4487F4E5F9}"/>
            </a:ext>
          </a:extLst>
        </xdr:cNvPr>
        <xdr:cNvSpPr txBox="1"/>
      </xdr:nvSpPr>
      <xdr:spPr>
        <a:xfrm>
          <a:off x="9034318" y="5902806"/>
          <a:ext cx="5065568" cy="33173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1082385</xdr:colOff>
      <xdr:row>12</xdr:row>
      <xdr:rowOff>191062</xdr:rowOff>
    </xdr:from>
    <xdr:to>
      <xdr:col>9</xdr:col>
      <xdr:colOff>-1</xdr:colOff>
      <xdr:row>12</xdr:row>
      <xdr:rowOff>519545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33E9F9-EC86-A24E-B431-B8CBAA6A960B}"/>
            </a:ext>
          </a:extLst>
        </xdr:cNvPr>
        <xdr:cNvSpPr txBox="1"/>
      </xdr:nvSpPr>
      <xdr:spPr>
        <a:xfrm>
          <a:off x="9048749" y="7118335"/>
          <a:ext cx="8846705" cy="32848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1111249</xdr:colOff>
      <xdr:row>8</xdr:row>
      <xdr:rowOff>177799</xdr:rowOff>
    </xdr:from>
    <xdr:to>
      <xdr:col>8</xdr:col>
      <xdr:colOff>2455332</xdr:colOff>
      <xdr:row>8</xdr:row>
      <xdr:rowOff>524932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F353F9-1DE0-0246-808A-17F0ADDD0276}"/>
            </a:ext>
          </a:extLst>
        </xdr:cNvPr>
        <xdr:cNvSpPr txBox="1"/>
      </xdr:nvSpPr>
      <xdr:spPr>
        <a:xfrm>
          <a:off x="9077613" y="4565072"/>
          <a:ext cx="8790901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12700</xdr:colOff>
      <xdr:row>6</xdr:row>
      <xdr:rowOff>165100</xdr:rowOff>
    </xdr:from>
    <xdr:to>
      <xdr:col>5</xdr:col>
      <xdr:colOff>1154545</xdr:colOff>
      <xdr:row>6</xdr:row>
      <xdr:rowOff>476249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54DB4E4-83E6-4641-AB28-E0BDDB802CD8}"/>
            </a:ext>
          </a:extLst>
        </xdr:cNvPr>
        <xdr:cNvSpPr txBox="1"/>
      </xdr:nvSpPr>
      <xdr:spPr>
        <a:xfrm>
          <a:off x="5496791" y="3282373"/>
          <a:ext cx="3624118" cy="31114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11240</xdr:colOff>
      <xdr:row>8</xdr:row>
      <xdr:rowOff>177800</xdr:rowOff>
    </xdr:from>
    <xdr:to>
      <xdr:col>5</xdr:col>
      <xdr:colOff>1111250</xdr:colOff>
      <xdr:row>8</xdr:row>
      <xdr:rowOff>524933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194E77-6B82-594E-8979-2B6E7A56B12E}"/>
            </a:ext>
          </a:extLst>
        </xdr:cNvPr>
        <xdr:cNvSpPr txBox="1"/>
      </xdr:nvSpPr>
      <xdr:spPr>
        <a:xfrm>
          <a:off x="530785" y="4565073"/>
          <a:ext cx="8546829" cy="3471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1327726</xdr:colOff>
      <xdr:row>10</xdr:row>
      <xdr:rowOff>245534</xdr:rowOff>
    </xdr:from>
    <xdr:to>
      <xdr:col>5</xdr:col>
      <xdr:colOff>1082385</xdr:colOff>
      <xdr:row>10</xdr:row>
      <xdr:rowOff>577272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4329544" y="5902807"/>
          <a:ext cx="4719205" cy="33173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11239</xdr:colOff>
      <xdr:row>12</xdr:row>
      <xdr:rowOff>182033</xdr:rowOff>
    </xdr:from>
    <xdr:to>
      <xdr:col>5</xdr:col>
      <xdr:colOff>1096818</xdr:colOff>
      <xdr:row>12</xdr:row>
      <xdr:rowOff>519545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530784" y="7109306"/>
          <a:ext cx="8532398" cy="33751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1270000</xdr:colOff>
      <xdr:row>14</xdr:row>
      <xdr:rowOff>177800</xdr:rowOff>
    </xdr:from>
    <xdr:to>
      <xdr:col>5</xdr:col>
      <xdr:colOff>1111250</xdr:colOff>
      <xdr:row>14</xdr:row>
      <xdr:rowOff>505113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4271818" y="8375073"/>
          <a:ext cx="4805796" cy="3273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1140112</xdr:colOff>
      <xdr:row>6</xdr:row>
      <xdr:rowOff>165100</xdr:rowOff>
    </xdr:from>
    <xdr:to>
      <xdr:col>7</xdr:col>
      <xdr:colOff>1255568</xdr:colOff>
      <xdr:row>6</xdr:row>
      <xdr:rowOff>476250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22C7B17-5DBC-A040-9AB1-3AE59F02FA7F}"/>
            </a:ext>
          </a:extLst>
        </xdr:cNvPr>
        <xdr:cNvSpPr txBox="1"/>
      </xdr:nvSpPr>
      <xdr:spPr>
        <a:xfrm>
          <a:off x="9106476" y="3282373"/>
          <a:ext cx="5080001" cy="31115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1168977</xdr:colOff>
      <xdr:row>10</xdr:row>
      <xdr:rowOff>249766</xdr:rowOff>
    </xdr:from>
    <xdr:to>
      <xdr:col>8</xdr:col>
      <xdr:colOff>2464904</xdr:colOff>
      <xdr:row>10</xdr:row>
      <xdr:rowOff>577271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D1F764C-A7BE-544F-99AB-9EFEF8AAC3C9}"/>
            </a:ext>
          </a:extLst>
        </xdr:cNvPr>
        <xdr:cNvSpPr txBox="1"/>
      </xdr:nvSpPr>
      <xdr:spPr>
        <a:xfrm>
          <a:off x="14099886" y="5907039"/>
          <a:ext cx="3778200" cy="32750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245533</xdr:rowOff>
    </xdr:from>
    <xdr:to>
      <xdr:col>3</xdr:col>
      <xdr:colOff>1327727</xdr:colOff>
      <xdr:row>10</xdr:row>
      <xdr:rowOff>562841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44945" y="5902806"/>
          <a:ext cx="3784600" cy="31730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1226705</xdr:colOff>
      <xdr:row>6</xdr:row>
      <xdr:rowOff>156634</xdr:rowOff>
    </xdr:from>
    <xdr:to>
      <xdr:col>9</xdr:col>
      <xdr:colOff>5339</xdr:colOff>
      <xdr:row>6</xdr:row>
      <xdr:rowOff>476250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067156-0F5E-2044-B1D9-D464D0418B94}"/>
            </a:ext>
          </a:extLst>
        </xdr:cNvPr>
        <xdr:cNvSpPr txBox="1"/>
      </xdr:nvSpPr>
      <xdr:spPr>
        <a:xfrm>
          <a:off x="14157614" y="3273907"/>
          <a:ext cx="3743180" cy="31961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177799</xdr:rowOff>
    </xdr:from>
    <xdr:to>
      <xdr:col>3</xdr:col>
      <xdr:colOff>1270000</xdr:colOff>
      <xdr:row>14</xdr:row>
      <xdr:rowOff>505113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3A3024-84D2-5A41-9A6B-D383D2186270}"/>
            </a:ext>
          </a:extLst>
        </xdr:cNvPr>
        <xdr:cNvSpPr txBox="1"/>
      </xdr:nvSpPr>
      <xdr:spPr>
        <a:xfrm>
          <a:off x="544945" y="8375072"/>
          <a:ext cx="3726873" cy="32731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1096817</xdr:colOff>
      <xdr:row>14</xdr:row>
      <xdr:rowOff>182033</xdr:rowOff>
    </xdr:from>
    <xdr:to>
      <xdr:col>6</xdr:col>
      <xdr:colOff>2467840</xdr:colOff>
      <xdr:row>14</xdr:row>
      <xdr:rowOff>490682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E9EEB82-7104-CB44-88D7-0BB6131E86B0}"/>
            </a:ext>
          </a:extLst>
        </xdr:cNvPr>
        <xdr:cNvSpPr txBox="1"/>
      </xdr:nvSpPr>
      <xdr:spPr>
        <a:xfrm>
          <a:off x="9063181" y="8379306"/>
          <a:ext cx="3853295" cy="30864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466450</xdr:colOff>
      <xdr:row>1</xdr:row>
      <xdr:rowOff>457200</xdr:rowOff>
    </xdr:from>
    <xdr:to>
      <xdr:col>8</xdr:col>
      <xdr:colOff>1922642</xdr:colOff>
      <xdr:row>3</xdr:row>
      <xdr:rowOff>355600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89845A-2F7F-3A4F-BCFA-6C7CE634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8850" y="6477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1181100</xdr:colOff>
      <xdr:row>10</xdr:row>
      <xdr:rowOff>180041</xdr:rowOff>
    </xdr:from>
    <xdr:to>
      <xdr:col>8</xdr:col>
      <xdr:colOff>2454771</xdr:colOff>
      <xdr:row>10</xdr:row>
      <xdr:rowOff>497540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FDC160DB-F537-F345-BFA0-92A8E17B38B1}"/>
            </a:ext>
          </a:extLst>
        </xdr:cNvPr>
        <xdr:cNvSpPr txBox="1"/>
      </xdr:nvSpPr>
      <xdr:spPr>
        <a:xfrm>
          <a:off x="14097000" y="5831541"/>
          <a:ext cx="3750171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1320800</xdr:colOff>
      <xdr:row>8</xdr:row>
      <xdr:rowOff>177800</xdr:rowOff>
    </xdr:from>
    <xdr:to>
      <xdr:col>8</xdr:col>
      <xdr:colOff>2465294</xdr:colOff>
      <xdr:row>8</xdr:row>
      <xdr:rowOff>497840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BD63A4C-DCA8-FA40-89AD-03C38AEAD602}"/>
            </a:ext>
          </a:extLst>
        </xdr:cNvPr>
        <xdr:cNvSpPr txBox="1"/>
      </xdr:nvSpPr>
      <xdr:spPr>
        <a:xfrm>
          <a:off x="9283700" y="4559300"/>
          <a:ext cx="8573994" cy="32004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1308100</xdr:colOff>
      <xdr:row>10</xdr:row>
      <xdr:rowOff>177801</xdr:rowOff>
    </xdr:from>
    <xdr:to>
      <xdr:col>7</xdr:col>
      <xdr:colOff>1181100</xdr:colOff>
      <xdr:row>10</xdr:row>
      <xdr:rowOff>495301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7730E47-5E19-5A4B-A319-69141FB5DA8C}"/>
            </a:ext>
          </a:extLst>
        </xdr:cNvPr>
        <xdr:cNvSpPr txBox="1"/>
      </xdr:nvSpPr>
      <xdr:spPr>
        <a:xfrm>
          <a:off x="9271000" y="5829301"/>
          <a:ext cx="48260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1231900</xdr:colOff>
      <xdr:row>12</xdr:row>
      <xdr:rowOff>165101</xdr:rowOff>
    </xdr:from>
    <xdr:to>
      <xdr:col>9</xdr:col>
      <xdr:colOff>0</xdr:colOff>
      <xdr:row>12</xdr:row>
      <xdr:rowOff>493059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0A097F1-158B-474C-AC09-13FA94625701}"/>
            </a:ext>
          </a:extLst>
        </xdr:cNvPr>
        <xdr:cNvSpPr txBox="1"/>
      </xdr:nvSpPr>
      <xdr:spPr>
        <a:xfrm>
          <a:off x="9194800" y="7086601"/>
          <a:ext cx="8674100" cy="3279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1219199</xdr:colOff>
      <xdr:row>14</xdr:row>
      <xdr:rowOff>162859</xdr:rowOff>
    </xdr:from>
    <xdr:to>
      <xdr:col>7</xdr:col>
      <xdr:colOff>1143000</xdr:colOff>
      <xdr:row>14</xdr:row>
      <xdr:rowOff>487262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AFABEAD-F7F5-0545-9319-C9C32551533D}"/>
            </a:ext>
          </a:extLst>
        </xdr:cNvPr>
        <xdr:cNvSpPr txBox="1"/>
      </xdr:nvSpPr>
      <xdr:spPr>
        <a:xfrm>
          <a:off x="9182099" y="8354359"/>
          <a:ext cx="4876801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29884</xdr:colOff>
      <xdr:row>8</xdr:row>
      <xdr:rowOff>177800</xdr:rowOff>
    </xdr:from>
    <xdr:to>
      <xdr:col>5</xdr:col>
      <xdr:colOff>1295400</xdr:colOff>
      <xdr:row>8</xdr:row>
      <xdr:rowOff>493059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34DC555-A003-104E-9A66-09B82D5665E7}"/>
            </a:ext>
          </a:extLst>
        </xdr:cNvPr>
        <xdr:cNvSpPr txBox="1"/>
      </xdr:nvSpPr>
      <xdr:spPr>
        <a:xfrm>
          <a:off x="563284" y="4559300"/>
          <a:ext cx="8695016" cy="3152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10</xdr:row>
      <xdr:rowOff>177800</xdr:rowOff>
    </xdr:from>
    <xdr:to>
      <xdr:col>5</xdr:col>
      <xdr:colOff>1308100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4267200" y="5829300"/>
          <a:ext cx="5003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29884</xdr:colOff>
      <xdr:row>12</xdr:row>
      <xdr:rowOff>165099</xdr:rowOff>
    </xdr:from>
    <xdr:to>
      <xdr:col>5</xdr:col>
      <xdr:colOff>1244600</xdr:colOff>
      <xdr:row>12</xdr:row>
      <xdr:rowOff>493058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563284" y="7086599"/>
          <a:ext cx="8644216" cy="3279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1282699</xdr:colOff>
      <xdr:row>14</xdr:row>
      <xdr:rowOff>162859</xdr:rowOff>
    </xdr:from>
    <xdr:to>
      <xdr:col>5</xdr:col>
      <xdr:colOff>1231900</xdr:colOff>
      <xdr:row>14</xdr:row>
      <xdr:rowOff>480359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4292599" y="8354359"/>
          <a:ext cx="4902201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6</xdr:row>
      <xdr:rowOff>165100</xdr:rowOff>
    </xdr:from>
    <xdr:to>
      <xdr:col>8</xdr:col>
      <xdr:colOff>2465293</xdr:colOff>
      <xdr:row>6</xdr:row>
      <xdr:rowOff>537882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14147800" y="3276600"/>
          <a:ext cx="3709893" cy="37278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27641</xdr:colOff>
      <xdr:row>10</xdr:row>
      <xdr:rowOff>180041</xdr:rowOff>
    </xdr:from>
    <xdr:to>
      <xdr:col>2</xdr:col>
      <xdr:colOff>1284941</xdr:colOff>
      <xdr:row>10</xdr:row>
      <xdr:rowOff>497540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6F3EA5-420A-B24A-8C9A-39D9ECC6AC7E}"/>
            </a:ext>
          </a:extLst>
        </xdr:cNvPr>
        <xdr:cNvSpPr txBox="1"/>
      </xdr:nvSpPr>
      <xdr:spPr>
        <a:xfrm>
          <a:off x="565523" y="5842747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30628</xdr:colOff>
      <xdr:row>14</xdr:row>
      <xdr:rowOff>168088</xdr:rowOff>
    </xdr:from>
    <xdr:to>
      <xdr:col>3</xdr:col>
      <xdr:colOff>1282699</xdr:colOff>
      <xdr:row>14</xdr:row>
      <xdr:rowOff>485587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DB2883-E317-B848-8F26-738DE27630F7}"/>
            </a:ext>
          </a:extLst>
        </xdr:cNvPr>
        <xdr:cNvSpPr txBox="1"/>
      </xdr:nvSpPr>
      <xdr:spPr>
        <a:xfrm>
          <a:off x="564028" y="8359588"/>
          <a:ext cx="3728571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1130300</xdr:colOff>
      <xdr:row>14</xdr:row>
      <xdr:rowOff>168088</xdr:rowOff>
    </xdr:from>
    <xdr:to>
      <xdr:col>9</xdr:col>
      <xdr:colOff>22348</xdr:colOff>
      <xdr:row>14</xdr:row>
      <xdr:rowOff>485587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D23A3E7-EE4C-A747-8DCE-9F771187B8D2}"/>
            </a:ext>
          </a:extLst>
        </xdr:cNvPr>
        <xdr:cNvSpPr txBox="1"/>
      </xdr:nvSpPr>
      <xdr:spPr>
        <a:xfrm>
          <a:off x="14046200" y="8359588"/>
          <a:ext cx="3845048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32122</xdr:colOff>
      <xdr:row>10</xdr:row>
      <xdr:rowOff>191247</xdr:rowOff>
    </xdr:from>
    <xdr:to>
      <xdr:col>3</xdr:col>
      <xdr:colOff>1244599</xdr:colOff>
      <xdr:row>10</xdr:row>
      <xdr:rowOff>508746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7AD2F32-C95A-2A4B-903E-9772686E0CBA}"/>
            </a:ext>
          </a:extLst>
        </xdr:cNvPr>
        <xdr:cNvSpPr txBox="1"/>
      </xdr:nvSpPr>
      <xdr:spPr>
        <a:xfrm>
          <a:off x="565522" y="5842747"/>
          <a:ext cx="3688977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2457823</xdr:colOff>
      <xdr:row>6</xdr:row>
      <xdr:rowOff>165101</xdr:rowOff>
    </xdr:from>
    <xdr:to>
      <xdr:col>7</xdr:col>
      <xdr:colOff>1238623</xdr:colOff>
      <xdr:row>6</xdr:row>
      <xdr:rowOff>546101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548E2-FCF9-274D-BFA3-CD93A2C33DB6}"/>
            </a:ext>
          </a:extLst>
        </xdr:cNvPr>
        <xdr:cNvSpPr txBox="1"/>
      </xdr:nvSpPr>
      <xdr:spPr>
        <a:xfrm>
          <a:off x="12897223" y="3276601"/>
          <a:ext cx="1257300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558800</xdr:colOff>
      <xdr:row>1</xdr:row>
      <xdr:rowOff>431800</xdr:rowOff>
    </xdr:from>
    <xdr:to>
      <xdr:col>8</xdr:col>
      <xdr:colOff>2014992</xdr:colOff>
      <xdr:row>3</xdr:row>
      <xdr:rowOff>330200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2314EC-0C68-F44F-97B9-A519C8BB9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200" y="6223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1227191</xdr:colOff>
      <xdr:row>6</xdr:row>
      <xdr:rowOff>171236</xdr:rowOff>
    </xdr:from>
    <xdr:to>
      <xdr:col>8</xdr:col>
      <xdr:colOff>2459364</xdr:colOff>
      <xdr:row>6</xdr:row>
      <xdr:rowOff>513708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23587D8-393F-E642-A665-F363DE2E3B46}"/>
            </a:ext>
          </a:extLst>
        </xdr:cNvPr>
        <xdr:cNvSpPr txBox="1"/>
      </xdr:nvSpPr>
      <xdr:spPr>
        <a:xfrm>
          <a:off x="9218202" y="3282023"/>
          <a:ext cx="8680937" cy="34247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1141573</xdr:colOff>
      <xdr:row>8</xdr:row>
      <xdr:rowOff>177799</xdr:rowOff>
    </xdr:from>
    <xdr:to>
      <xdr:col>7</xdr:col>
      <xdr:colOff>1113034</xdr:colOff>
      <xdr:row>8</xdr:row>
      <xdr:rowOff>527976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4A5C22-ABAD-8844-A91F-1DC70B90A9BA}"/>
            </a:ext>
          </a:extLst>
        </xdr:cNvPr>
        <xdr:cNvSpPr txBox="1"/>
      </xdr:nvSpPr>
      <xdr:spPr>
        <a:xfrm>
          <a:off x="9132584" y="4558586"/>
          <a:ext cx="4937304" cy="35017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1113034</xdr:colOff>
      <xdr:row>8</xdr:row>
      <xdr:rowOff>177800</xdr:rowOff>
    </xdr:from>
    <xdr:to>
      <xdr:col>9</xdr:col>
      <xdr:colOff>17118</xdr:colOff>
      <xdr:row>8</xdr:row>
      <xdr:rowOff>527978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C38114C-F121-B04C-801A-A61809318DAF}"/>
            </a:ext>
          </a:extLst>
        </xdr:cNvPr>
        <xdr:cNvSpPr txBox="1"/>
      </xdr:nvSpPr>
      <xdr:spPr>
        <a:xfrm>
          <a:off x="14069888" y="4558587"/>
          <a:ext cx="3869927" cy="35017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1127303</xdr:colOff>
      <xdr:row>12</xdr:row>
      <xdr:rowOff>165100</xdr:rowOff>
    </xdr:from>
    <xdr:to>
      <xdr:col>7</xdr:col>
      <xdr:colOff>1170111</xdr:colOff>
      <xdr:row>12</xdr:row>
      <xdr:rowOff>470898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372A26-E0C4-9240-941E-73A57B6BD8C1}"/>
            </a:ext>
          </a:extLst>
        </xdr:cNvPr>
        <xdr:cNvSpPr txBox="1"/>
      </xdr:nvSpPr>
      <xdr:spPr>
        <a:xfrm>
          <a:off x="9118314" y="7085887"/>
          <a:ext cx="5008651" cy="30579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1070224</xdr:colOff>
      <xdr:row>8</xdr:row>
      <xdr:rowOff>177799</xdr:rowOff>
    </xdr:from>
    <xdr:to>
      <xdr:col>5</xdr:col>
      <xdr:colOff>1141573</xdr:colOff>
      <xdr:row>8</xdr:row>
      <xdr:rowOff>527976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4095393" y="4558586"/>
          <a:ext cx="5037191" cy="35017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1070224</xdr:colOff>
      <xdr:row>12</xdr:row>
      <xdr:rowOff>165100</xdr:rowOff>
    </xdr:from>
    <xdr:to>
      <xdr:col>5</xdr:col>
      <xdr:colOff>1127304</xdr:colOff>
      <xdr:row>12</xdr:row>
      <xdr:rowOff>470898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50F66AE-83D3-4F4B-9381-03BD33C23C27}"/>
            </a:ext>
          </a:extLst>
        </xdr:cNvPr>
        <xdr:cNvSpPr txBox="1"/>
      </xdr:nvSpPr>
      <xdr:spPr>
        <a:xfrm>
          <a:off x="4095393" y="7085887"/>
          <a:ext cx="5022922" cy="30579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1184382</xdr:colOff>
      <xdr:row>10</xdr:row>
      <xdr:rowOff>182804</xdr:rowOff>
    </xdr:from>
    <xdr:to>
      <xdr:col>9</xdr:col>
      <xdr:colOff>18036</xdr:colOff>
      <xdr:row>10</xdr:row>
      <xdr:rowOff>485168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03A19AB-82B5-2A46-91D8-A13059987A42}"/>
            </a:ext>
          </a:extLst>
        </xdr:cNvPr>
        <xdr:cNvSpPr txBox="1"/>
      </xdr:nvSpPr>
      <xdr:spPr>
        <a:xfrm>
          <a:off x="9175393" y="5833591"/>
          <a:ext cx="8765340" cy="30236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1170111</xdr:colOff>
      <xdr:row>12</xdr:row>
      <xdr:rowOff>165100</xdr:rowOff>
    </xdr:from>
    <xdr:to>
      <xdr:col>9</xdr:col>
      <xdr:colOff>17117</xdr:colOff>
      <xdr:row>12</xdr:row>
      <xdr:rowOff>470898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9563F42-6C25-3049-AB8D-9CEF0C36CA05}"/>
            </a:ext>
          </a:extLst>
        </xdr:cNvPr>
        <xdr:cNvSpPr txBox="1"/>
      </xdr:nvSpPr>
      <xdr:spPr>
        <a:xfrm>
          <a:off x="14126965" y="7085887"/>
          <a:ext cx="3812849" cy="30579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3</xdr:col>
      <xdr:colOff>1070224</xdr:colOff>
      <xdr:row>8</xdr:row>
      <xdr:rowOff>513707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2DEC5-6124-7F40-9B58-396DC90D1260}"/>
            </a:ext>
          </a:extLst>
        </xdr:cNvPr>
        <xdr:cNvSpPr txBox="1"/>
      </xdr:nvSpPr>
      <xdr:spPr>
        <a:xfrm>
          <a:off x="567647" y="4558587"/>
          <a:ext cx="3527746" cy="33590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5</xdr:col>
      <xdr:colOff>1184382</xdr:colOff>
      <xdr:row>10</xdr:row>
      <xdr:rowOff>485167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554947" y="5828587"/>
          <a:ext cx="8620446" cy="3073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25400</xdr:colOff>
      <xdr:row>12</xdr:row>
      <xdr:rowOff>165101</xdr:rowOff>
    </xdr:from>
    <xdr:to>
      <xdr:col>3</xdr:col>
      <xdr:colOff>1070224</xdr:colOff>
      <xdr:row>12</xdr:row>
      <xdr:rowOff>470899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B4143-FEAB-9049-8A5B-D2CBDE9697AD}"/>
            </a:ext>
          </a:extLst>
        </xdr:cNvPr>
        <xdr:cNvSpPr txBox="1"/>
      </xdr:nvSpPr>
      <xdr:spPr>
        <a:xfrm>
          <a:off x="567647" y="7085888"/>
          <a:ext cx="3527746" cy="30579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5</xdr:col>
      <xdr:colOff>0</xdr:colOff>
      <xdr:row>14</xdr:row>
      <xdr:rowOff>485167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187E4F-0784-9A43-8E22-DF62F9184C85}"/>
            </a:ext>
          </a:extLst>
        </xdr:cNvPr>
        <xdr:cNvSpPr txBox="1"/>
      </xdr:nvSpPr>
      <xdr:spPr>
        <a:xfrm>
          <a:off x="567647" y="8368587"/>
          <a:ext cx="7423364" cy="30736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12698</xdr:colOff>
      <xdr:row>6</xdr:row>
      <xdr:rowOff>165099</xdr:rowOff>
    </xdr:from>
    <xdr:to>
      <xdr:col>5</xdr:col>
      <xdr:colOff>1212921</xdr:colOff>
      <xdr:row>6</xdr:row>
      <xdr:rowOff>513706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2E5B80-EDD8-A645-93B3-925DF229897E}"/>
            </a:ext>
          </a:extLst>
        </xdr:cNvPr>
        <xdr:cNvSpPr txBox="1"/>
      </xdr:nvSpPr>
      <xdr:spPr>
        <a:xfrm>
          <a:off x="554945" y="3275886"/>
          <a:ext cx="8648987" cy="34860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444500</xdr:colOff>
      <xdr:row>1</xdr:row>
      <xdr:rowOff>406400</xdr:rowOff>
    </xdr:from>
    <xdr:to>
      <xdr:col>8</xdr:col>
      <xdr:colOff>1900692</xdr:colOff>
      <xdr:row>3</xdr:row>
      <xdr:rowOff>304800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CA7A8D6-2C4C-7C4E-89AC-9C5AD92D6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6900" y="5969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1219199</xdr:colOff>
      <xdr:row>10</xdr:row>
      <xdr:rowOff>177801</xdr:rowOff>
    </xdr:from>
    <xdr:to>
      <xdr:col>8</xdr:col>
      <xdr:colOff>2463030</xdr:colOff>
      <xdr:row>10</xdr:row>
      <xdr:rowOff>506160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2895453-C959-9C4B-84C8-B20E6679BF09}"/>
            </a:ext>
          </a:extLst>
        </xdr:cNvPr>
        <xdr:cNvSpPr txBox="1"/>
      </xdr:nvSpPr>
      <xdr:spPr>
        <a:xfrm>
          <a:off x="9182099" y="5829301"/>
          <a:ext cx="8673331" cy="3283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14</xdr:row>
      <xdr:rowOff>193262</xdr:rowOff>
    </xdr:from>
    <xdr:to>
      <xdr:col>6</xdr:col>
      <xdr:colOff>2475578</xdr:colOff>
      <xdr:row>14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D63A818-0CE3-9745-9306-92A6A92EC579}"/>
            </a:ext>
          </a:extLst>
        </xdr:cNvPr>
        <xdr:cNvSpPr txBox="1"/>
      </xdr:nvSpPr>
      <xdr:spPr>
        <a:xfrm>
          <a:off x="9232900" y="8384762"/>
          <a:ext cx="3682078" cy="31473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1270000</xdr:colOff>
      <xdr:row>12</xdr:row>
      <xdr:rowOff>174855</xdr:rowOff>
    </xdr:from>
    <xdr:to>
      <xdr:col>7</xdr:col>
      <xdr:colOff>1257300</xdr:colOff>
      <xdr:row>12</xdr:row>
      <xdr:rowOff>482600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B4454D0-39B0-BF48-9DC5-43DBC3E35179}"/>
            </a:ext>
          </a:extLst>
        </xdr:cNvPr>
        <xdr:cNvSpPr txBox="1"/>
      </xdr:nvSpPr>
      <xdr:spPr>
        <a:xfrm>
          <a:off x="9232900" y="7096355"/>
          <a:ext cx="4940300" cy="30774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1295399</xdr:colOff>
      <xdr:row>6</xdr:row>
      <xdr:rowOff>222443</xdr:rowOff>
    </xdr:from>
    <xdr:to>
      <xdr:col>8</xdr:col>
      <xdr:colOff>2463030</xdr:colOff>
      <xdr:row>6</xdr:row>
      <xdr:rowOff>538789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9258299" y="3333943"/>
          <a:ext cx="8597131" cy="31634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8</xdr:row>
      <xdr:rowOff>197042</xdr:rowOff>
    </xdr:from>
    <xdr:to>
      <xdr:col>9</xdr:col>
      <xdr:colOff>0</xdr:colOff>
      <xdr:row>8</xdr:row>
      <xdr:rowOff>508000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EE95098-EADD-A042-B524-BFA5C01FA510}"/>
            </a:ext>
          </a:extLst>
        </xdr:cNvPr>
        <xdr:cNvSpPr txBox="1"/>
      </xdr:nvSpPr>
      <xdr:spPr>
        <a:xfrm>
          <a:off x="14198600" y="4578542"/>
          <a:ext cx="3670300" cy="31095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1257300</xdr:colOff>
      <xdr:row>8</xdr:row>
      <xdr:rowOff>202463</xdr:rowOff>
    </xdr:from>
    <xdr:to>
      <xdr:col>5</xdr:col>
      <xdr:colOff>1219200</xdr:colOff>
      <xdr:row>8</xdr:row>
      <xdr:rowOff>515362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4267200" y="4583963"/>
          <a:ext cx="4914900" cy="3128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12701</xdr:colOff>
      <xdr:row>10</xdr:row>
      <xdr:rowOff>177799</xdr:rowOff>
    </xdr:from>
    <xdr:to>
      <xdr:col>5</xdr:col>
      <xdr:colOff>1206500</xdr:colOff>
      <xdr:row>10</xdr:row>
      <xdr:rowOff>500302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546101" y="5829299"/>
          <a:ext cx="8623299" cy="3225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1269999</xdr:colOff>
      <xdr:row>12</xdr:row>
      <xdr:rowOff>174855</xdr:rowOff>
    </xdr:from>
    <xdr:to>
      <xdr:col>5</xdr:col>
      <xdr:colOff>1282700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4279899" y="7096355"/>
          <a:ext cx="4965701" cy="30774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6542</xdr:colOff>
      <xdr:row>14</xdr:row>
      <xdr:rowOff>197042</xdr:rowOff>
    </xdr:from>
    <xdr:to>
      <xdr:col>5</xdr:col>
      <xdr:colOff>1270000</xdr:colOff>
      <xdr:row>14</xdr:row>
      <xdr:rowOff>508000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F50A623-D493-F44E-9B3D-8DDE42160E44}"/>
            </a:ext>
          </a:extLst>
        </xdr:cNvPr>
        <xdr:cNvSpPr txBox="1"/>
      </xdr:nvSpPr>
      <xdr:spPr>
        <a:xfrm>
          <a:off x="539942" y="8388542"/>
          <a:ext cx="8692958" cy="31095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1206500</xdr:colOff>
      <xdr:row>8</xdr:row>
      <xdr:rowOff>202465</xdr:rowOff>
    </xdr:from>
    <xdr:to>
      <xdr:col>7</xdr:col>
      <xdr:colOff>1282700</xdr:colOff>
      <xdr:row>8</xdr:row>
      <xdr:rowOff>508000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DE6A7F-BC33-B24E-8191-36DF27547D5D}"/>
            </a:ext>
          </a:extLst>
        </xdr:cNvPr>
        <xdr:cNvSpPr txBox="1"/>
      </xdr:nvSpPr>
      <xdr:spPr>
        <a:xfrm>
          <a:off x="9169400" y="4583965"/>
          <a:ext cx="5029200" cy="30553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197042</xdr:rowOff>
    </xdr:from>
    <xdr:to>
      <xdr:col>3</xdr:col>
      <xdr:colOff>1257300</xdr:colOff>
      <xdr:row>8</xdr:row>
      <xdr:rowOff>514541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46100" y="4578542"/>
          <a:ext cx="372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23894</xdr:colOff>
      <xdr:row>12</xdr:row>
      <xdr:rowOff>174689</xdr:rowOff>
    </xdr:from>
    <xdr:to>
      <xdr:col>3</xdr:col>
      <xdr:colOff>1270000</xdr:colOff>
      <xdr:row>12</xdr:row>
      <xdr:rowOff>469901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CBAF01A-9B53-214A-960A-B9A741E86BD5}"/>
            </a:ext>
          </a:extLst>
        </xdr:cNvPr>
        <xdr:cNvSpPr txBox="1"/>
      </xdr:nvSpPr>
      <xdr:spPr>
        <a:xfrm>
          <a:off x="557294" y="7096189"/>
          <a:ext cx="3722606" cy="29521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1257300</xdr:colOff>
      <xdr:row>12</xdr:row>
      <xdr:rowOff>174855</xdr:rowOff>
    </xdr:from>
    <xdr:to>
      <xdr:col>9</xdr:col>
      <xdr:colOff>3028</xdr:colOff>
      <xdr:row>12</xdr:row>
      <xdr:rowOff>469900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D28A122-0ABB-2F48-AA84-3CF012442A0F}"/>
            </a:ext>
          </a:extLst>
        </xdr:cNvPr>
        <xdr:cNvSpPr txBox="1"/>
      </xdr:nvSpPr>
      <xdr:spPr>
        <a:xfrm>
          <a:off x="14173200" y="7096355"/>
          <a:ext cx="3698728" cy="29504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2451100</xdr:colOff>
      <xdr:row>6</xdr:row>
      <xdr:rowOff>227863</xdr:rowOff>
    </xdr:from>
    <xdr:to>
      <xdr:col>5</xdr:col>
      <xdr:colOff>1295400</xdr:colOff>
      <xdr:row>6</xdr:row>
      <xdr:rowOff>540762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FAD7D4-4BFD-9740-B3AA-30899BD076B8}"/>
            </a:ext>
          </a:extLst>
        </xdr:cNvPr>
        <xdr:cNvSpPr txBox="1"/>
      </xdr:nvSpPr>
      <xdr:spPr>
        <a:xfrm>
          <a:off x="7937500" y="3339363"/>
          <a:ext cx="1320800" cy="3128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1164166</xdr:colOff>
      <xdr:row>8</xdr:row>
      <xdr:rowOff>284479</xdr:rowOff>
    </xdr:from>
    <xdr:to>
      <xdr:col>8</xdr:col>
      <xdr:colOff>2436573</xdr:colOff>
      <xdr:row>8</xdr:row>
      <xdr:rowOff>589642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80CF3AA-0DD7-E14A-8EF4-68CF9DF02642}"/>
            </a:ext>
          </a:extLst>
        </xdr:cNvPr>
        <xdr:cNvSpPr txBox="1"/>
      </xdr:nvSpPr>
      <xdr:spPr>
        <a:xfrm>
          <a:off x="14106071" y="4669003"/>
          <a:ext cx="3751931" cy="30516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1224643</xdr:colOff>
      <xdr:row>12</xdr:row>
      <xdr:rowOff>172720</xdr:rowOff>
    </xdr:from>
    <xdr:to>
      <xdr:col>9</xdr:col>
      <xdr:colOff>0</xdr:colOff>
      <xdr:row>12</xdr:row>
      <xdr:rowOff>498928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5CD6A6-DE21-504E-8851-806F0A97C355}"/>
            </a:ext>
          </a:extLst>
        </xdr:cNvPr>
        <xdr:cNvSpPr txBox="1"/>
      </xdr:nvSpPr>
      <xdr:spPr>
        <a:xfrm>
          <a:off x="14166548" y="7097244"/>
          <a:ext cx="3734404" cy="32620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2470639</xdr:colOff>
      <xdr:row>6</xdr:row>
      <xdr:rowOff>210038</xdr:rowOff>
    </xdr:from>
    <xdr:to>
      <xdr:col>8</xdr:col>
      <xdr:colOff>2461847</xdr:colOff>
      <xdr:row>6</xdr:row>
      <xdr:rowOff>508000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248797-8086-1B45-ADD2-6F62B31DFF28}"/>
            </a:ext>
          </a:extLst>
        </xdr:cNvPr>
        <xdr:cNvSpPr txBox="1"/>
      </xdr:nvSpPr>
      <xdr:spPr>
        <a:xfrm>
          <a:off x="12943254" y="3336192"/>
          <a:ext cx="4953978" cy="29796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1300237</xdr:colOff>
      <xdr:row>8</xdr:row>
      <xdr:rowOff>284479</xdr:rowOff>
    </xdr:from>
    <xdr:to>
      <xdr:col>7</xdr:col>
      <xdr:colOff>1179284</xdr:colOff>
      <xdr:row>8</xdr:row>
      <xdr:rowOff>589643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C958846-8460-EF4A-968D-BF9136819143}"/>
            </a:ext>
          </a:extLst>
        </xdr:cNvPr>
        <xdr:cNvSpPr txBox="1"/>
      </xdr:nvSpPr>
      <xdr:spPr>
        <a:xfrm>
          <a:off x="9283094" y="4669003"/>
          <a:ext cx="4838095" cy="30516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1179285</xdr:colOff>
      <xdr:row>12</xdr:row>
      <xdr:rowOff>165102</xdr:rowOff>
    </xdr:from>
    <xdr:to>
      <xdr:col>7</xdr:col>
      <xdr:colOff>1224643</xdr:colOff>
      <xdr:row>12</xdr:row>
      <xdr:rowOff>483809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BFE965E-5C0F-C247-B69B-6C3F5D41A417}"/>
            </a:ext>
          </a:extLst>
        </xdr:cNvPr>
        <xdr:cNvSpPr txBox="1"/>
      </xdr:nvSpPr>
      <xdr:spPr>
        <a:xfrm>
          <a:off x="9162142" y="7089626"/>
          <a:ext cx="5004406" cy="31870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1254880</xdr:colOff>
      <xdr:row>10</xdr:row>
      <xdr:rowOff>177800</xdr:rowOff>
    </xdr:from>
    <xdr:to>
      <xdr:col>8</xdr:col>
      <xdr:colOff>2461845</xdr:colOff>
      <xdr:row>10</xdr:row>
      <xdr:rowOff>574524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9237737" y="5832324"/>
          <a:ext cx="8645537" cy="39672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1133929</xdr:colOff>
      <xdr:row>14</xdr:row>
      <xdr:rowOff>177800</xdr:rowOff>
    </xdr:from>
    <xdr:to>
      <xdr:col>9</xdr:col>
      <xdr:colOff>1860</xdr:colOff>
      <xdr:row>14</xdr:row>
      <xdr:rowOff>544286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771938D-3B08-8145-B40C-EF978C076C5D}"/>
            </a:ext>
          </a:extLst>
        </xdr:cNvPr>
        <xdr:cNvSpPr txBox="1"/>
      </xdr:nvSpPr>
      <xdr:spPr>
        <a:xfrm>
          <a:off x="9116786" y="8372324"/>
          <a:ext cx="8786026" cy="36648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1239760</xdr:colOff>
      <xdr:row>8</xdr:row>
      <xdr:rowOff>274320</xdr:rowOff>
    </xdr:from>
    <xdr:to>
      <xdr:col>5</xdr:col>
      <xdr:colOff>1315357</xdr:colOff>
      <xdr:row>8</xdr:row>
      <xdr:rowOff>604761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4263570" y="4658844"/>
          <a:ext cx="5034644" cy="33044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177799</xdr:rowOff>
    </xdr:from>
    <xdr:to>
      <xdr:col>5</xdr:col>
      <xdr:colOff>1270000</xdr:colOff>
      <xdr:row>10</xdr:row>
      <xdr:rowOff>589643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544286" y="5832323"/>
          <a:ext cx="8708571" cy="41184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1209523</xdr:colOff>
      <xdr:row>12</xdr:row>
      <xdr:rowOff>165099</xdr:rowOff>
    </xdr:from>
    <xdr:to>
      <xdr:col>5</xdr:col>
      <xdr:colOff>1179286</xdr:colOff>
      <xdr:row>12</xdr:row>
      <xdr:rowOff>498928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120586C-C075-734E-8826-5BCA0C786220}"/>
            </a:ext>
          </a:extLst>
        </xdr:cNvPr>
        <xdr:cNvSpPr txBox="1"/>
      </xdr:nvSpPr>
      <xdr:spPr>
        <a:xfrm>
          <a:off x="4233333" y="7089623"/>
          <a:ext cx="4928810" cy="33382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19538</xdr:colOff>
      <xdr:row>14</xdr:row>
      <xdr:rowOff>177800</xdr:rowOff>
    </xdr:from>
    <xdr:to>
      <xdr:col>5</xdr:col>
      <xdr:colOff>1133929</xdr:colOff>
      <xdr:row>14</xdr:row>
      <xdr:rowOff>544286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F909982-8ADF-9B42-8CEE-B60A958ACDD4}"/>
            </a:ext>
          </a:extLst>
        </xdr:cNvPr>
        <xdr:cNvSpPr txBox="1"/>
      </xdr:nvSpPr>
      <xdr:spPr>
        <a:xfrm>
          <a:off x="563824" y="8372324"/>
          <a:ext cx="8552962" cy="36648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8</xdr:col>
      <xdr:colOff>431800</xdr:colOff>
      <xdr:row>1</xdr:row>
      <xdr:rowOff>444500</xdr:rowOff>
    </xdr:from>
    <xdr:to>
      <xdr:col>8</xdr:col>
      <xdr:colOff>1887992</xdr:colOff>
      <xdr:row>3</xdr:row>
      <xdr:rowOff>342900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E3529EF-BA5E-1A4C-8B6C-6A47CB1CB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4200" y="635000"/>
          <a:ext cx="1456192" cy="11049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</xdr:row>
      <xdr:rowOff>275492</xdr:rowOff>
    </xdr:from>
    <xdr:to>
      <xdr:col>3</xdr:col>
      <xdr:colOff>1254880</xdr:colOff>
      <xdr:row>8</xdr:row>
      <xdr:rowOff>589643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344C1C-53D5-9A4F-B4E2-D2D3FEF3AAC9}"/>
            </a:ext>
          </a:extLst>
        </xdr:cNvPr>
        <xdr:cNvSpPr txBox="1"/>
      </xdr:nvSpPr>
      <xdr:spPr>
        <a:xfrm>
          <a:off x="569686" y="4660016"/>
          <a:ext cx="3709004" cy="31415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162559</xdr:rowOff>
    </xdr:from>
    <xdr:to>
      <xdr:col>3</xdr:col>
      <xdr:colOff>1194404</xdr:colOff>
      <xdr:row>12</xdr:row>
      <xdr:rowOff>483808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44CE1-C038-9D4B-9117-890D6048DBE3}"/>
            </a:ext>
          </a:extLst>
        </xdr:cNvPr>
        <xdr:cNvSpPr txBox="1"/>
      </xdr:nvSpPr>
      <xdr:spPr>
        <a:xfrm>
          <a:off x="569686" y="7087083"/>
          <a:ext cx="3648528" cy="32124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20320</xdr:colOff>
      <xdr:row>16</xdr:row>
      <xdr:rowOff>252045</xdr:rowOff>
    </xdr:from>
    <xdr:to>
      <xdr:col>3</xdr:col>
      <xdr:colOff>1239761</xdr:colOff>
      <xdr:row>16</xdr:row>
      <xdr:rowOff>574524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978FC12-02E2-8543-B79F-6250AEBD210E}"/>
            </a:ext>
          </a:extLst>
        </xdr:cNvPr>
        <xdr:cNvSpPr txBox="1"/>
      </xdr:nvSpPr>
      <xdr:spPr>
        <a:xfrm>
          <a:off x="564606" y="9716569"/>
          <a:ext cx="3698965" cy="32247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J22"/>
  <sheetViews>
    <sheetView showGridLines="0" tabSelected="1" zoomScale="86" zoomScaleNormal="100" workbookViewId="0">
      <pane ySplit="5" topLeftCell="A6" activePane="bottomLeft" state="frozen"/>
      <selection pane="bottomLeft" activeCell="H13" sqref="H13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0" ht="15" customHeight="1" thickBot="1" x14ac:dyDescent="0.2"/>
    <row r="2" spans="2:10" ht="75" customHeight="1" thickTop="1" x14ac:dyDescent="0.15">
      <c r="C2" s="171" t="s">
        <v>0</v>
      </c>
      <c r="D2" s="172"/>
      <c r="E2" s="172"/>
      <c r="F2" s="172"/>
      <c r="G2" s="172"/>
      <c r="H2" s="172"/>
      <c r="I2" s="173"/>
    </row>
    <row r="3" spans="2:10" s="15" customFormat="1" ht="20" customHeight="1" x14ac:dyDescent="0.15">
      <c r="C3" s="16" t="s">
        <v>1</v>
      </c>
      <c r="D3" s="144">
        <v>2023</v>
      </c>
      <c r="E3" s="18" t="s">
        <v>2</v>
      </c>
      <c r="F3" s="17" t="s">
        <v>3</v>
      </c>
      <c r="G3" s="19" t="s">
        <v>4</v>
      </c>
      <c r="H3" s="20"/>
      <c r="I3" s="21"/>
    </row>
    <row r="4" spans="2:10" ht="75" customHeight="1" x14ac:dyDescent="0.65">
      <c r="C4" s="146">
        <f>CalendarYear</f>
        <v>2023</v>
      </c>
      <c r="D4" s="177" t="s">
        <v>5</v>
      </c>
      <c r="E4" s="177"/>
      <c r="F4" s="177"/>
      <c r="G4" s="177"/>
      <c r="H4" s="177"/>
      <c r="I4" s="145"/>
    </row>
    <row r="5" spans="2:10" s="2" customFormat="1" ht="35" customHeight="1" x14ac:dyDescent="0.15">
      <c r="B5" s="83"/>
      <c r="C5" s="12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10" s="34" customFormat="1" ht="25" customHeight="1" x14ac:dyDescent="0.2">
      <c r="B6" s="78"/>
      <c r="C6" s="127">
        <f t="array" ref="C6:I6">DaysAndWeeks+DATE(CalendarYear,1,1)-WEEKDAY(DATE(CalendarYear,1,1),(WeekStart="M")+1)+1</f>
        <v>44927</v>
      </c>
      <c r="D6" s="24">
        <v>44928</v>
      </c>
      <c r="E6" s="24">
        <v>44929</v>
      </c>
      <c r="F6" s="24">
        <v>44930</v>
      </c>
      <c r="G6" s="149">
        <v>44931</v>
      </c>
      <c r="H6" s="24">
        <v>44932</v>
      </c>
      <c r="I6" s="25">
        <v>44933</v>
      </c>
    </row>
    <row r="7" spans="2:10" s="6" customFormat="1" ht="75" customHeight="1" x14ac:dyDescent="0.15">
      <c r="B7" s="76"/>
      <c r="C7" s="123"/>
      <c r="D7" s="123">
        <v>0.625</v>
      </c>
      <c r="E7" s="124"/>
      <c r="F7" s="124">
        <v>0.625</v>
      </c>
      <c r="G7" s="150"/>
      <c r="H7" s="185">
        <v>0.625</v>
      </c>
      <c r="I7" s="7"/>
    </row>
    <row r="8" spans="2:10" s="34" customFormat="1" ht="25" customHeight="1" x14ac:dyDescent="0.2">
      <c r="B8" s="78"/>
      <c r="C8" s="22">
        <f t="array" ref="C8:I8">DaysAndWeeks+DATE(CalendarYear,1,1)-WEEKDAY(DATE(CalendarYear,1,1),(WeekStart="M")+1)+8</f>
        <v>44934</v>
      </c>
      <c r="D8" s="148">
        <v>44935</v>
      </c>
      <c r="E8" s="148">
        <v>44936</v>
      </c>
      <c r="F8" s="148">
        <v>44937</v>
      </c>
      <c r="G8" s="148">
        <v>44938</v>
      </c>
      <c r="H8" s="114">
        <v>44939</v>
      </c>
      <c r="I8" s="25">
        <v>44940</v>
      </c>
    </row>
    <row r="9" spans="2:10" s="6" customFormat="1" ht="75" customHeight="1" x14ac:dyDescent="0.15">
      <c r="B9" s="76"/>
      <c r="C9" s="123"/>
      <c r="D9" s="10"/>
      <c r="E9" s="124"/>
      <c r="F9" s="124">
        <v>0.625</v>
      </c>
      <c r="G9" s="126"/>
      <c r="H9" s="8"/>
      <c r="I9" s="9"/>
      <c r="J9" s="6" t="s">
        <v>6</v>
      </c>
    </row>
    <row r="10" spans="2:10" s="34" customFormat="1" ht="25" customHeight="1" x14ac:dyDescent="0.2">
      <c r="B10" s="78"/>
      <c r="C10" s="22">
        <f t="array" ref="C10:I10">DaysAndWeeks+DATE(CalendarYear,1,1)-WEEKDAY(DATE(CalendarYear,1,1),(WeekStart="M")+1)+15</f>
        <v>44941</v>
      </c>
      <c r="D10" s="23">
        <v>44942</v>
      </c>
      <c r="E10" s="23">
        <v>44943</v>
      </c>
      <c r="F10" s="23">
        <v>44944</v>
      </c>
      <c r="G10" s="26">
        <v>44945</v>
      </c>
      <c r="H10" s="27">
        <v>44946</v>
      </c>
      <c r="I10" s="25">
        <v>44947</v>
      </c>
    </row>
    <row r="11" spans="2:10" s="6" customFormat="1" ht="75" customHeight="1" x14ac:dyDescent="0.15">
      <c r="B11" s="76"/>
      <c r="C11" s="123"/>
      <c r="D11" s="123">
        <v>0.625</v>
      </c>
      <c r="E11" s="124"/>
      <c r="F11" s="10"/>
      <c r="G11" s="125"/>
      <c r="H11" s="185">
        <v>0.625</v>
      </c>
      <c r="I11" s="7"/>
    </row>
    <row r="12" spans="2:10" s="34" customFormat="1" ht="25" customHeight="1" x14ac:dyDescent="0.2">
      <c r="B12" s="78"/>
      <c r="C12" s="22">
        <f t="array" ref="C12:I12">DaysAndWeeks+DATE(CalendarYear,1,1)-WEEKDAY(DATE(CalendarYear,1,1),(WeekStart="M")+1)+22</f>
        <v>44948</v>
      </c>
      <c r="D12" s="23">
        <v>44949</v>
      </c>
      <c r="E12" s="23">
        <v>44950</v>
      </c>
      <c r="F12" s="23">
        <v>44951</v>
      </c>
      <c r="G12" s="23">
        <v>44952</v>
      </c>
      <c r="H12" s="24">
        <v>44953</v>
      </c>
      <c r="I12" s="25">
        <v>44954</v>
      </c>
    </row>
    <row r="13" spans="2:10" s="6" customFormat="1" ht="75" customHeight="1" x14ac:dyDescent="0.15">
      <c r="B13" s="76"/>
      <c r="C13" s="123"/>
      <c r="D13" s="10"/>
      <c r="F13" s="124">
        <v>0.625</v>
      </c>
      <c r="G13" s="126"/>
      <c r="H13" s="8"/>
      <c r="I13" s="9"/>
    </row>
    <row r="14" spans="2:10" s="34" customFormat="1" ht="25" customHeight="1" x14ac:dyDescent="0.2">
      <c r="B14" s="78"/>
      <c r="C14" s="22">
        <f t="array" ref="C14:I14">DaysAndWeeks+DATE(CalendarYear,1,1)-WEEKDAY(DATE(CalendarYear,1,1),(WeekStart="M")+1)+29</f>
        <v>44955</v>
      </c>
      <c r="D14" s="23">
        <v>44956</v>
      </c>
      <c r="E14" s="23">
        <v>44957</v>
      </c>
      <c r="F14" s="28">
        <v>44958</v>
      </c>
      <c r="G14" s="28">
        <v>44959</v>
      </c>
      <c r="H14" s="28">
        <v>44960</v>
      </c>
      <c r="I14" s="29">
        <v>44961</v>
      </c>
    </row>
    <row r="15" spans="2:10" s="6" customFormat="1" ht="75" customHeight="1" x14ac:dyDescent="0.15">
      <c r="B15" s="76"/>
      <c r="C15" s="123"/>
      <c r="D15" s="186">
        <v>0.625</v>
      </c>
      <c r="E15" s="124"/>
      <c r="F15" s="3"/>
      <c r="G15" s="152"/>
      <c r="H15" s="153"/>
      <c r="I15" s="154"/>
    </row>
    <row r="16" spans="2:10" s="34" customFormat="1" ht="25" customHeight="1" x14ac:dyDescent="0.2">
      <c r="B16" s="78"/>
      <c r="C16" s="156">
        <f t="array" ref="C16:I16">DaysAndWeeks+DATE(CalendarYear,1,1)-WEEKDAY(DATE(CalendarYear,1,1),(WeekStart="M")+1)+36</f>
        <v>44962</v>
      </c>
      <c r="D16" s="28">
        <v>44963</v>
      </c>
      <c r="E16" s="28">
        <v>44964</v>
      </c>
      <c r="F16" s="28">
        <v>44965</v>
      </c>
      <c r="G16" s="28">
        <v>44966</v>
      </c>
      <c r="H16" s="28">
        <v>44967</v>
      </c>
      <c r="I16" s="29">
        <v>44968</v>
      </c>
    </row>
    <row r="17" spans="2:9" s="6" customFormat="1" ht="75" customHeight="1" x14ac:dyDescent="0.2">
      <c r="B17" s="76"/>
      <c r="C17" s="155"/>
      <c r="D17" s="4"/>
      <c r="E17" s="151"/>
      <c r="F17" s="4"/>
      <c r="G17" s="4"/>
      <c r="H17" s="4"/>
      <c r="I17" s="5"/>
    </row>
    <row r="18" spans="2:9" ht="125" customHeight="1" thickBot="1" x14ac:dyDescent="0.2">
      <c r="B18" s="77"/>
      <c r="C18" s="174" t="s">
        <v>7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40" priority="6">
      <formula>DAY(C6)&gt;8</formula>
    </cfRule>
  </conditionalFormatting>
  <conditionalFormatting sqref="C14:I14 C18 C16:I16 D17 F17:I17">
    <cfRule type="expression" dxfId="39" priority="4">
      <formula>AND(DAY(C14)&gt;=1,DAY(C14)&lt;=15)</formula>
    </cfRule>
  </conditionalFormatting>
  <conditionalFormatting sqref="C8:H8">
    <cfRule type="expression" dxfId="38" priority="2">
      <formula>DAY(C8)&gt;8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0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71" t="s">
        <v>0</v>
      </c>
      <c r="D2" s="172"/>
      <c r="E2" s="172"/>
      <c r="F2" s="172"/>
      <c r="G2" s="172"/>
      <c r="H2" s="172"/>
      <c r="I2" s="173"/>
    </row>
    <row r="3" spans="2:9" ht="20" customHeight="1" x14ac:dyDescent="0.15">
      <c r="B3" s="77"/>
      <c r="C3" s="50"/>
      <c r="D3" s="31"/>
      <c r="E3" s="31"/>
      <c r="F3" s="31"/>
      <c r="G3" s="50" t="s">
        <v>8</v>
      </c>
      <c r="H3" s="50" t="s">
        <v>9</v>
      </c>
      <c r="I3" s="90"/>
    </row>
    <row r="4" spans="2:9" ht="75" customHeight="1" x14ac:dyDescent="0.65">
      <c r="B4" s="77"/>
      <c r="C4" s="146">
        <f>CalendarYear</f>
        <v>2023</v>
      </c>
      <c r="D4" s="178" t="s">
        <v>10</v>
      </c>
      <c r="E4" s="178"/>
      <c r="F4" s="178"/>
      <c r="G4" s="178"/>
      <c r="H4" s="178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6" customFormat="1" ht="25" customHeight="1" x14ac:dyDescent="0.2">
      <c r="B6" s="80"/>
      <c r="C6" s="52">
        <f t="array" ref="C6:I6">DaysAndWeeks+DATE(CalendarYear,2,1)-WEEKDAY(DATE(CalendarYear,2,1),(WeekStart="M")+1)+1</f>
        <v>44955</v>
      </c>
      <c r="D6" s="42">
        <v>44956</v>
      </c>
      <c r="E6" s="37">
        <v>44957</v>
      </c>
      <c r="F6" s="114">
        <v>44958</v>
      </c>
      <c r="G6" s="114">
        <v>44959</v>
      </c>
      <c r="H6" s="114">
        <v>44960</v>
      </c>
      <c r="I6" s="115">
        <v>44961</v>
      </c>
    </row>
    <row r="7" spans="2:9" s="6" customFormat="1" ht="75" customHeight="1" x14ac:dyDescent="0.15">
      <c r="B7" s="76"/>
      <c r="C7" s="51"/>
      <c r="D7" s="33"/>
      <c r="E7" s="151"/>
      <c r="F7" s="129">
        <v>0.625</v>
      </c>
      <c r="G7" s="129"/>
      <c r="H7" s="187">
        <v>0.625</v>
      </c>
      <c r="I7" s="116"/>
    </row>
    <row r="8" spans="2:9" s="36" customFormat="1" ht="25" customHeight="1" x14ac:dyDescent="0.2">
      <c r="B8" s="80"/>
      <c r="C8" s="119">
        <f t="array" ref="C8:I8">DaysAndWeeks+DATE(CalendarYear,2,1)-WEEKDAY(DATE(CalendarYear,2,1),(WeekStart="M")+1)+8</f>
        <v>44962</v>
      </c>
      <c r="D8" s="114">
        <v>44963</v>
      </c>
      <c r="E8" s="117">
        <v>44964</v>
      </c>
      <c r="F8" s="117">
        <v>44965</v>
      </c>
      <c r="G8" s="117">
        <v>44966</v>
      </c>
      <c r="H8" s="117">
        <v>44967</v>
      </c>
      <c r="I8" s="115">
        <v>44968</v>
      </c>
    </row>
    <row r="9" spans="2:9" s="55" customFormat="1" ht="75" customHeight="1" x14ac:dyDescent="0.15">
      <c r="B9" s="85"/>
      <c r="C9" s="130"/>
      <c r="D9" s="54"/>
      <c r="F9" s="131">
        <v>0.625</v>
      </c>
      <c r="G9" s="131"/>
      <c r="H9" s="118"/>
      <c r="I9" s="86"/>
    </row>
    <row r="10" spans="2:9" s="36" customFormat="1" ht="25" customHeight="1" x14ac:dyDescent="0.2">
      <c r="B10" s="80"/>
      <c r="C10" s="119">
        <f t="array" ref="C10:I10">DaysAndWeeks+DATE(CalendarYear,2,1)-WEEKDAY(DATE(CalendarYear,2,1),(WeekStart="M")+1)+15</f>
        <v>44969</v>
      </c>
      <c r="D10" s="114">
        <v>44970</v>
      </c>
      <c r="E10" s="114">
        <v>44971</v>
      </c>
      <c r="F10" s="114">
        <v>44972</v>
      </c>
      <c r="G10" s="114">
        <v>44973</v>
      </c>
      <c r="H10" s="114">
        <v>44974</v>
      </c>
      <c r="I10" s="115">
        <v>44975</v>
      </c>
    </row>
    <row r="11" spans="2:9" s="55" customFormat="1" ht="75" customHeight="1" x14ac:dyDescent="0.15">
      <c r="B11" s="85"/>
      <c r="C11" s="132"/>
      <c r="D11" s="132">
        <v>0.625</v>
      </c>
      <c r="E11" s="132"/>
      <c r="F11" s="132">
        <v>0.625</v>
      </c>
      <c r="G11" s="132"/>
      <c r="H11" s="139" t="s">
        <v>41</v>
      </c>
      <c r="I11" s="86"/>
    </row>
    <row r="12" spans="2:9" s="34" customFormat="1" ht="25" customHeight="1" x14ac:dyDescent="0.2">
      <c r="B12" s="78"/>
      <c r="C12" s="119">
        <f t="array" ref="C12:I12">DaysAndWeeks+DATE(CalendarYear,2,1)-WEEKDAY(DATE(CalendarYear,2,1),(WeekStart="M")+1)+22</f>
        <v>44976</v>
      </c>
      <c r="D12" s="114">
        <v>44977</v>
      </c>
      <c r="E12" s="114">
        <v>44978</v>
      </c>
      <c r="F12" s="114">
        <v>44979</v>
      </c>
      <c r="G12" s="114">
        <v>44980</v>
      </c>
      <c r="H12" s="114">
        <v>44981</v>
      </c>
      <c r="I12" s="115">
        <v>44982</v>
      </c>
    </row>
    <row r="13" spans="2:9" s="55" customFormat="1" ht="75" customHeight="1" x14ac:dyDescent="0.15">
      <c r="B13" s="85"/>
      <c r="C13" s="130"/>
      <c r="D13" s="54"/>
      <c r="E13" s="132"/>
      <c r="F13" s="188">
        <v>0.625</v>
      </c>
      <c r="G13" s="132"/>
      <c r="H13" s="54"/>
      <c r="I13" s="86"/>
    </row>
    <row r="14" spans="2:9" s="34" customFormat="1" ht="25" customHeight="1" x14ac:dyDescent="0.2">
      <c r="B14" s="78"/>
      <c r="C14" s="119">
        <f t="array" ref="C14:I14">DaysAndWeeks+DATE(CalendarYear,2,1)-WEEKDAY(DATE(CalendarYear,2,1),(WeekStart="M")+1)+29</f>
        <v>44983</v>
      </c>
      <c r="D14" s="114">
        <v>44984</v>
      </c>
      <c r="E14" s="157">
        <v>44985</v>
      </c>
      <c r="F14" s="41">
        <v>44986</v>
      </c>
      <c r="G14" s="41">
        <v>44987</v>
      </c>
      <c r="H14" s="41">
        <v>44988</v>
      </c>
      <c r="I14" s="87">
        <v>44989</v>
      </c>
    </row>
    <row r="15" spans="2:9" s="55" customFormat="1" ht="75" customHeight="1" x14ac:dyDescent="0.15">
      <c r="B15" s="85"/>
      <c r="C15" s="130"/>
      <c r="D15" s="132">
        <v>0.625</v>
      </c>
      <c r="E15" s="130"/>
      <c r="F15" s="57"/>
      <c r="G15" s="57"/>
      <c r="H15" s="57"/>
      <c r="I15" s="88"/>
    </row>
    <row r="16" spans="2:9" s="34" customFormat="1" ht="25" customHeight="1" x14ac:dyDescent="0.2">
      <c r="B16" s="78"/>
      <c r="C16" s="84">
        <f t="array" ref="C16:I16">DaysAndWeeks+DATE(CalendarYear,2,1)-WEEKDAY(DATE(CalendarYear,2,1),(WeekStart="M")+1)+36</f>
        <v>44990</v>
      </c>
      <c r="D16" s="40">
        <v>44991</v>
      </c>
      <c r="E16" s="40">
        <v>44992</v>
      </c>
      <c r="F16" s="40">
        <v>44993</v>
      </c>
      <c r="G16" s="40">
        <v>44994</v>
      </c>
      <c r="H16" s="40">
        <v>44995</v>
      </c>
      <c r="I16" s="89">
        <v>44996</v>
      </c>
    </row>
    <row r="17" spans="2:9" s="6" customFormat="1" ht="75" customHeight="1" x14ac:dyDescent="0.15">
      <c r="B17" s="76"/>
      <c r="C17" s="51"/>
      <c r="D17" s="3"/>
      <c r="E17" s="3"/>
      <c r="F17" s="3"/>
      <c r="G17" s="3"/>
      <c r="H17" s="3"/>
      <c r="I17" s="96"/>
    </row>
    <row r="18" spans="2:9" ht="125" customHeight="1" thickBot="1" x14ac:dyDescent="0.2">
      <c r="B18" s="77"/>
      <c r="C18" s="174" t="s">
        <v>7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E6:I6">
    <cfRule type="expression" dxfId="37" priority="7">
      <formula>DAY(E6)&gt;8</formula>
    </cfRule>
  </conditionalFormatting>
  <conditionalFormatting sqref="C14:I16">
    <cfRule type="expression" dxfId="36" priority="6">
      <formula>AND(DAY(C14)&gt;=1,DAY(C14)&lt;=15)</formula>
    </cfRule>
  </conditionalFormatting>
  <conditionalFormatting sqref="C6:D6">
    <cfRule type="expression" dxfId="35" priority="5">
      <formula>DAY(C6)&gt;8</formula>
    </cfRule>
  </conditionalFormatting>
  <conditionalFormatting sqref="C8">
    <cfRule type="expression" dxfId="34" priority="4">
      <formula>DAY(C8)&gt;8</formula>
    </cfRule>
  </conditionalFormatting>
  <conditionalFormatting sqref="D8:E8">
    <cfRule type="expression" dxfId="33" priority="3">
      <formula>DAY(D8)&gt;8</formula>
    </cfRule>
  </conditionalFormatting>
  <conditionalFormatting sqref="C18">
    <cfRule type="expression" dxfId="32" priority="2">
      <formula>AND(DAY(C18)&gt;=1,DAY(C18)&lt;=15)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="75" zoomScaleNormal="100" workbookViewId="0">
      <pane ySplit="5" topLeftCell="A7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72" t="s">
        <v>0</v>
      </c>
      <c r="D2" s="172"/>
      <c r="E2" s="172"/>
      <c r="F2" s="172"/>
      <c r="G2" s="172"/>
      <c r="H2" s="172"/>
      <c r="I2" s="173"/>
    </row>
    <row r="3" spans="2:9" ht="20" customHeight="1" x14ac:dyDescent="0.15">
      <c r="B3" s="77"/>
      <c r="C3" s="32"/>
      <c r="D3" s="30"/>
      <c r="E3" s="30"/>
      <c r="F3" s="31"/>
      <c r="G3" s="50" t="s">
        <v>11</v>
      </c>
      <c r="H3" s="50" t="s">
        <v>12</v>
      </c>
      <c r="I3" s="94"/>
    </row>
    <row r="4" spans="2:9" ht="75" customHeight="1" x14ac:dyDescent="0.65">
      <c r="B4" s="77"/>
      <c r="C4" s="146">
        <f>CalendarYear</f>
        <v>2023</v>
      </c>
      <c r="D4" s="178" t="s">
        <v>13</v>
      </c>
      <c r="E4" s="178"/>
      <c r="F4" s="178"/>
      <c r="G4" s="178"/>
      <c r="H4" s="178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4" customFormat="1" ht="25" customHeight="1" x14ac:dyDescent="0.2">
      <c r="B6" s="78"/>
      <c r="C6" s="66">
        <f t="array" ref="C6:I6">DaysAndWeeks+DATE(CalendarYear,3,1)-WEEKDAY(DATE(CalendarYear,3,1),(WeekStart="M")+1)+1</f>
        <v>44983</v>
      </c>
      <c r="D6" s="37">
        <v>44984</v>
      </c>
      <c r="E6" s="158">
        <v>44985</v>
      </c>
      <c r="F6" s="35">
        <v>44986</v>
      </c>
      <c r="G6" s="35">
        <v>44987</v>
      </c>
      <c r="H6" s="35">
        <v>44988</v>
      </c>
      <c r="I6" s="70">
        <v>44989</v>
      </c>
    </row>
    <row r="7" spans="2:9" s="55" customFormat="1" ht="75" customHeight="1" x14ac:dyDescent="0.15">
      <c r="B7" s="85"/>
      <c r="C7" s="95"/>
      <c r="D7" s="56"/>
      <c r="E7" s="142"/>
      <c r="F7" s="132">
        <v>0.625</v>
      </c>
      <c r="G7" s="132"/>
      <c r="H7" s="132">
        <v>0.625</v>
      </c>
      <c r="I7" s="86"/>
    </row>
    <row r="8" spans="2:9" s="34" customFormat="1" ht="25" customHeight="1" x14ac:dyDescent="0.2">
      <c r="B8" s="78"/>
      <c r="C8" s="38">
        <f t="array" ref="C8:I8">DaysAndWeeks+DATE(CalendarYear,3,1)-WEEKDAY(DATE(CalendarYear,3,1),(WeekStart="M")+1)+8</f>
        <v>44990</v>
      </c>
      <c r="D8" s="35">
        <v>44991</v>
      </c>
      <c r="E8" s="35">
        <v>44992</v>
      </c>
      <c r="F8" s="35">
        <v>44993</v>
      </c>
      <c r="G8" s="38">
        <v>44994</v>
      </c>
      <c r="H8" s="35">
        <v>44995</v>
      </c>
      <c r="I8" s="70">
        <v>44996</v>
      </c>
    </row>
    <row r="9" spans="2:9" s="55" customFormat="1" ht="75" customHeight="1" x14ac:dyDescent="0.15">
      <c r="B9" s="85"/>
      <c r="C9" s="130"/>
      <c r="D9" s="54"/>
      <c r="E9" s="132"/>
      <c r="F9" s="132">
        <v>0.625</v>
      </c>
      <c r="G9" s="133"/>
      <c r="H9" s="54"/>
      <c r="I9" s="86"/>
    </row>
    <row r="10" spans="2:9" s="34" customFormat="1" ht="25" customHeight="1" x14ac:dyDescent="0.2">
      <c r="B10" s="78"/>
      <c r="C10" s="38">
        <f t="array" ref="C10:I10">DaysAndWeeks+DATE(CalendarYear,3,1)-WEEKDAY(DATE(CalendarYear,3,1),(WeekStart="M")+1)+15</f>
        <v>44997</v>
      </c>
      <c r="D10" s="35">
        <v>44998</v>
      </c>
      <c r="E10" s="35">
        <v>44999</v>
      </c>
      <c r="F10" s="35">
        <v>45000</v>
      </c>
      <c r="G10" s="35">
        <v>45001</v>
      </c>
      <c r="H10" s="35">
        <v>45002</v>
      </c>
      <c r="I10" s="70">
        <v>45003</v>
      </c>
    </row>
    <row r="11" spans="2:9" s="55" customFormat="1" ht="75" customHeight="1" x14ac:dyDescent="0.15">
      <c r="B11" s="85"/>
      <c r="C11" s="130"/>
      <c r="D11" s="132">
        <v>0.625</v>
      </c>
      <c r="E11" s="132"/>
      <c r="F11" s="132">
        <v>0.625</v>
      </c>
      <c r="G11" s="132"/>
      <c r="H11" s="132">
        <v>0.625</v>
      </c>
      <c r="I11" s="86"/>
    </row>
    <row r="12" spans="2:9" s="34" customFormat="1" ht="25" customHeight="1" x14ac:dyDescent="0.2">
      <c r="B12" s="78"/>
      <c r="C12" s="38">
        <f t="array" ref="C12:I12">DaysAndWeeks+DATE(CalendarYear,3,1)-WEEKDAY(DATE(CalendarYear,3,1),(WeekStart="M")+1)+22</f>
        <v>45004</v>
      </c>
      <c r="D12" s="35">
        <v>45005</v>
      </c>
      <c r="E12" s="35">
        <v>45006</v>
      </c>
      <c r="F12" s="35">
        <v>45007</v>
      </c>
      <c r="G12" s="35">
        <v>45008</v>
      </c>
      <c r="H12" s="39">
        <v>45009</v>
      </c>
      <c r="I12" s="91">
        <v>45010</v>
      </c>
    </row>
    <row r="13" spans="2:9" s="55" customFormat="1" ht="75" customHeight="1" x14ac:dyDescent="0.15">
      <c r="B13" s="85"/>
      <c r="C13" s="130"/>
      <c r="D13" s="54"/>
      <c r="E13" s="132"/>
      <c r="F13" s="132">
        <v>0.625</v>
      </c>
      <c r="G13" s="132"/>
      <c r="H13" s="54"/>
      <c r="I13" s="86"/>
    </row>
    <row r="14" spans="2:9" s="34" customFormat="1" ht="25" customHeight="1" x14ac:dyDescent="0.2">
      <c r="B14" s="78"/>
      <c r="C14" s="46">
        <f t="array" ref="C14:I14">DaysAndWeeks+DATE(CalendarYear,3,1)-WEEKDAY(DATE(CalendarYear,3,1),(WeekStart="M")+1)+29</f>
        <v>45011</v>
      </c>
      <c r="D14" s="35">
        <v>45012</v>
      </c>
      <c r="E14" s="35">
        <v>45013</v>
      </c>
      <c r="F14" s="35">
        <v>45014</v>
      </c>
      <c r="G14" s="46">
        <v>45015</v>
      </c>
      <c r="H14" s="159">
        <v>45016</v>
      </c>
      <c r="I14" s="72">
        <v>45017</v>
      </c>
    </row>
    <row r="15" spans="2:9" s="55" customFormat="1" ht="75" customHeight="1" x14ac:dyDescent="0.15">
      <c r="B15" s="85"/>
      <c r="C15" s="130"/>
      <c r="D15" s="132">
        <v>0.625</v>
      </c>
      <c r="E15" s="132"/>
      <c r="F15" s="132">
        <v>0.625</v>
      </c>
      <c r="G15" s="130"/>
      <c r="H15" s="189">
        <v>0.625</v>
      </c>
      <c r="I15" s="92"/>
    </row>
    <row r="16" spans="2:9" s="34" customFormat="1" ht="25" customHeight="1" x14ac:dyDescent="0.2">
      <c r="B16" s="78"/>
      <c r="C16" s="44">
        <f t="array" ref="C16:I16">DaysAndWeeks+DATE(CalendarYear,3,1)-WEEKDAY(DATE(CalendarYear,3,1),(WeekStart="M")+1)+36</f>
        <v>45018</v>
      </c>
      <c r="D16" s="37">
        <v>45019</v>
      </c>
      <c r="E16" s="37">
        <v>45020</v>
      </c>
      <c r="F16" s="37">
        <v>45021</v>
      </c>
      <c r="G16" s="37">
        <v>45022</v>
      </c>
      <c r="H16" s="37">
        <v>45023</v>
      </c>
      <c r="I16" s="72">
        <v>45024</v>
      </c>
    </row>
    <row r="17" spans="2:9" s="6" customFormat="1" ht="75" customHeight="1" x14ac:dyDescent="0.15">
      <c r="B17" s="76"/>
      <c r="C17" s="45"/>
      <c r="D17" s="43"/>
      <c r="E17" s="43"/>
      <c r="F17" s="43"/>
      <c r="G17" s="43"/>
      <c r="H17" s="43"/>
      <c r="I17" s="93"/>
    </row>
    <row r="18" spans="2:9" ht="125" customHeight="1" thickBot="1" x14ac:dyDescent="0.2">
      <c r="B18" s="77"/>
      <c r="C18" s="174" t="s">
        <v>7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30" priority="4">
      <formula>DAY(C6)&gt;8</formula>
    </cfRule>
  </conditionalFormatting>
  <conditionalFormatting sqref="C14:I17">
    <cfRule type="expression" dxfId="29" priority="3">
      <formula>AND(DAY(C14)&gt;=1,DAY(C14)&lt;=15)</formula>
    </cfRule>
  </conditionalFormatting>
  <conditionalFormatting sqref="C18">
    <cfRule type="expression" dxfId="28" priority="2">
      <formula>AND(DAY(C18)&gt;=1,DAY(C18)&lt;=15)</formula>
    </cfRule>
  </conditionalFormatting>
  <conditionalFormatting sqref="C7">
    <cfRule type="expression" dxfId="27" priority="1">
      <formula>AND(DAY(C7)&gt;=1,DAY(C7)&lt;=15)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="85" zoomScaleNormal="100" workbookViewId="0">
      <pane ySplit="5" topLeftCell="A13" activePane="bottomLeft" state="frozen"/>
      <selection pane="bottomLeft" activeCell="E25" sqref="E2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72" t="s">
        <v>0</v>
      </c>
      <c r="D2" s="172"/>
      <c r="E2" s="172"/>
      <c r="F2" s="172"/>
      <c r="G2" s="172"/>
      <c r="H2" s="172"/>
      <c r="I2" s="173"/>
    </row>
    <row r="3" spans="2:9" ht="20" customHeight="1" x14ac:dyDescent="0.15">
      <c r="B3" s="77"/>
      <c r="C3" s="19"/>
      <c r="D3" s="19"/>
      <c r="E3" s="47"/>
      <c r="F3" s="47"/>
      <c r="G3" s="19" t="s">
        <v>14</v>
      </c>
      <c r="H3" s="19" t="s">
        <v>15</v>
      </c>
      <c r="I3" s="98"/>
    </row>
    <row r="4" spans="2:9" ht="75" customHeight="1" x14ac:dyDescent="0.65">
      <c r="B4" s="77"/>
      <c r="C4" s="146">
        <f>CalendarYear</f>
        <v>2023</v>
      </c>
      <c r="D4" s="182" t="s">
        <v>16</v>
      </c>
      <c r="E4" s="182"/>
      <c r="F4" s="182"/>
      <c r="G4" s="182"/>
      <c r="H4" s="182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4" customFormat="1" ht="25" customHeight="1" x14ac:dyDescent="0.2">
      <c r="B6" s="78"/>
      <c r="C6" s="44">
        <f t="array" ref="C6:I6">DaysAndWeeks+DATE(CalendarYear,4,1)-WEEKDAY(DATE(CalendarYear,4,1),(WeekStart="M")+1)+1</f>
        <v>45011</v>
      </c>
      <c r="D6" s="37">
        <v>45012</v>
      </c>
      <c r="E6" s="37">
        <v>45013</v>
      </c>
      <c r="F6" s="37">
        <v>45014</v>
      </c>
      <c r="G6" s="37">
        <v>45015</v>
      </c>
      <c r="H6" s="37">
        <v>45016</v>
      </c>
      <c r="I6" s="70">
        <v>45017</v>
      </c>
    </row>
    <row r="7" spans="2:9" s="55" customFormat="1" ht="75" customHeight="1" x14ac:dyDescent="0.15">
      <c r="B7" s="85"/>
      <c r="C7" s="58"/>
      <c r="D7" s="59"/>
      <c r="E7" s="59"/>
      <c r="F7" s="56"/>
      <c r="G7" s="134"/>
      <c r="H7" s="56"/>
      <c r="I7" s="86"/>
    </row>
    <row r="8" spans="2:9" s="34" customFormat="1" ht="25" customHeight="1" x14ac:dyDescent="0.2">
      <c r="B8" s="78"/>
      <c r="C8" s="38">
        <f t="array" ref="C8:I8">DaysAndWeeks+DATE(CalendarYear,4,1)-WEEKDAY(DATE(CalendarYear,4,1),(WeekStart="M")+1)+8</f>
        <v>45018</v>
      </c>
      <c r="D8" s="35">
        <v>45019</v>
      </c>
      <c r="E8" s="35">
        <v>45020</v>
      </c>
      <c r="F8" s="35">
        <v>45021</v>
      </c>
      <c r="G8" s="35">
        <v>45022</v>
      </c>
      <c r="H8" s="35">
        <v>45023</v>
      </c>
      <c r="I8" s="70">
        <v>45024</v>
      </c>
    </row>
    <row r="9" spans="2:9" s="55" customFormat="1" ht="75" customHeight="1" x14ac:dyDescent="0.15">
      <c r="B9" s="85"/>
      <c r="C9" s="135"/>
      <c r="D9" s="54"/>
      <c r="E9" s="132"/>
      <c r="F9" s="132">
        <v>0.625</v>
      </c>
      <c r="G9" s="135"/>
      <c r="H9" s="54"/>
      <c r="I9" s="86"/>
    </row>
    <row r="10" spans="2:9" s="34" customFormat="1" ht="25" customHeight="1" x14ac:dyDescent="0.2">
      <c r="B10" s="78"/>
      <c r="C10" s="38">
        <f t="array" ref="C10:I10">DaysAndWeeks+DATE(CalendarYear,4,1)-WEEKDAY(DATE(CalendarYear,4,1),(WeekStart="M")+1)+15</f>
        <v>45025</v>
      </c>
      <c r="D10" s="35">
        <v>45026</v>
      </c>
      <c r="E10" s="35">
        <v>45027</v>
      </c>
      <c r="F10" s="35">
        <v>45028</v>
      </c>
      <c r="G10" s="35">
        <v>45029</v>
      </c>
      <c r="H10" s="35">
        <v>45030</v>
      </c>
      <c r="I10" s="70">
        <v>45031</v>
      </c>
    </row>
    <row r="11" spans="2:9" s="55" customFormat="1" ht="75" customHeight="1" x14ac:dyDescent="0.15">
      <c r="B11" s="85"/>
      <c r="C11" s="130"/>
      <c r="D11" s="132">
        <v>0.625</v>
      </c>
      <c r="E11" s="132"/>
      <c r="F11" s="132">
        <v>0.625</v>
      </c>
      <c r="G11" s="132"/>
      <c r="H11" s="132">
        <v>0.625</v>
      </c>
      <c r="I11" s="86"/>
    </row>
    <row r="12" spans="2:9" s="34" customFormat="1" ht="25" customHeight="1" x14ac:dyDescent="0.2">
      <c r="B12" s="78"/>
      <c r="C12" s="38">
        <f t="array" ref="C12:I12">DaysAndWeeks+DATE(CalendarYear,4,1)-WEEKDAY(DATE(CalendarYear,4,1),(WeekStart="M")+1)+22</f>
        <v>45032</v>
      </c>
      <c r="D12" s="35">
        <v>45033</v>
      </c>
      <c r="E12" s="35">
        <v>45034</v>
      </c>
      <c r="F12" s="35">
        <v>45035</v>
      </c>
      <c r="G12" s="35">
        <v>45036</v>
      </c>
      <c r="H12" s="35">
        <v>45037</v>
      </c>
      <c r="I12" s="70">
        <v>45038</v>
      </c>
    </row>
    <row r="13" spans="2:9" s="55" customFormat="1" ht="75" customHeight="1" x14ac:dyDescent="0.15">
      <c r="B13" s="85"/>
      <c r="C13" s="135"/>
      <c r="D13" s="54"/>
      <c r="E13" s="132"/>
      <c r="F13" s="132">
        <v>0.625</v>
      </c>
      <c r="G13" s="135"/>
      <c r="H13" s="54"/>
      <c r="I13" s="86"/>
    </row>
    <row r="14" spans="2:9" s="34" customFormat="1" ht="25" customHeight="1" x14ac:dyDescent="0.2">
      <c r="B14" s="78"/>
      <c r="C14" s="38">
        <f t="array" ref="C14:I14">DaysAndWeeks+DATE(CalendarYear,4,1)-WEEKDAY(DATE(CalendarYear,4,1),(WeekStart="M")+1)+29</f>
        <v>45039</v>
      </c>
      <c r="D14" s="35">
        <v>45040</v>
      </c>
      <c r="E14" s="35">
        <v>45041</v>
      </c>
      <c r="F14" s="35">
        <v>45042</v>
      </c>
      <c r="G14" s="35">
        <v>45043</v>
      </c>
      <c r="H14" s="35">
        <v>45044</v>
      </c>
      <c r="I14" s="70">
        <v>45045</v>
      </c>
    </row>
    <row r="15" spans="2:9" s="55" customFormat="1" ht="75" customHeight="1" x14ac:dyDescent="0.15">
      <c r="B15" s="85"/>
      <c r="C15" s="130"/>
      <c r="D15" s="132">
        <v>0.625</v>
      </c>
      <c r="E15" s="132"/>
      <c r="F15" s="132">
        <v>0.625</v>
      </c>
      <c r="G15" s="132"/>
      <c r="H15" s="132">
        <v>0.625</v>
      </c>
      <c r="I15" s="86"/>
    </row>
    <row r="16" spans="2:9" s="34" customFormat="1" ht="25" customHeight="1" x14ac:dyDescent="0.2">
      <c r="B16" s="78"/>
      <c r="C16" s="160">
        <f t="array" ref="C16:I16">DaysAndWeeks+DATE(CalendarYear,4,1)-WEEKDAY(DATE(CalendarYear,4,1),(WeekStart="M")+1)+36</f>
        <v>45046</v>
      </c>
      <c r="D16" s="53">
        <v>45047</v>
      </c>
      <c r="E16" s="53">
        <v>45048</v>
      </c>
      <c r="F16" s="53">
        <v>45049</v>
      </c>
      <c r="G16" s="53">
        <v>45050</v>
      </c>
      <c r="H16" s="53">
        <v>45051</v>
      </c>
      <c r="I16" s="97">
        <v>45052</v>
      </c>
    </row>
    <row r="17" spans="2:9" s="6" customFormat="1" ht="75" customHeight="1" x14ac:dyDescent="0.15">
      <c r="B17" s="76"/>
      <c r="C17" s="161"/>
      <c r="D17" s="43"/>
      <c r="E17" s="43"/>
      <c r="F17" s="43"/>
      <c r="G17" s="43"/>
      <c r="H17" s="43"/>
      <c r="I17" s="93"/>
    </row>
    <row r="18" spans="2:9" ht="125" customHeight="1" thickBot="1" x14ac:dyDescent="0.2">
      <c r="B18" s="77"/>
      <c r="C18" s="179" t="s">
        <v>7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26" priority="3">
      <formula>DAY(C6)&gt;8</formula>
    </cfRule>
  </conditionalFormatting>
  <conditionalFormatting sqref="C14:I14 C16:I17 D15 F15:I15">
    <cfRule type="expression" dxfId="25" priority="2">
      <formula>AND(DAY(C14)&gt;=1,DAY(C14)&lt;=15)</formula>
    </cfRule>
  </conditionalFormatting>
  <conditionalFormatting sqref="C18">
    <cfRule type="expression" dxfId="24" priority="1">
      <formula>AND(DAY(C18)&gt;=1,DAY(C18)&lt;=15)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="85" zoomScaleNormal="100" workbookViewId="0">
      <pane ySplit="5" topLeftCell="A10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72" t="s">
        <v>0</v>
      </c>
      <c r="D2" s="172"/>
      <c r="E2" s="172"/>
      <c r="F2" s="172"/>
      <c r="G2" s="172"/>
      <c r="H2" s="172"/>
      <c r="I2" s="173"/>
    </row>
    <row r="3" spans="2:9" ht="20" customHeight="1" x14ac:dyDescent="0.3">
      <c r="B3" s="77"/>
      <c r="C3" s="60"/>
      <c r="D3" s="61"/>
      <c r="E3" s="61"/>
      <c r="F3" s="30"/>
      <c r="G3" s="19" t="s">
        <v>17</v>
      </c>
      <c r="H3" s="19" t="s">
        <v>18</v>
      </c>
      <c r="I3" s="81"/>
    </row>
    <row r="4" spans="2:9" ht="75" customHeight="1" x14ac:dyDescent="0.65">
      <c r="B4" s="77"/>
      <c r="C4" s="146">
        <f>CalendarYear</f>
        <v>2023</v>
      </c>
      <c r="D4" s="182" t="s">
        <v>19</v>
      </c>
      <c r="E4" s="182"/>
      <c r="F4" s="182"/>
      <c r="G4" s="182"/>
      <c r="H4" s="182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6" customFormat="1" ht="25" customHeight="1" x14ac:dyDescent="0.2">
      <c r="B6" s="80"/>
      <c r="C6" s="66">
        <f t="array" ref="C6:I6">DaysAndWeeks+DATE(CalendarYear,5,1)-WEEKDAY(DATE(CalendarYear,5,1),(WeekStart="M")+1)+1</f>
        <v>45046</v>
      </c>
      <c r="D6" s="114">
        <v>45047</v>
      </c>
      <c r="E6" s="120">
        <v>45048</v>
      </c>
      <c r="F6" s="120">
        <v>45049</v>
      </c>
      <c r="G6" s="120">
        <v>45050</v>
      </c>
      <c r="H6" s="120">
        <v>45051</v>
      </c>
      <c r="I6" s="121">
        <v>45052</v>
      </c>
    </row>
    <row r="7" spans="2:9" s="55" customFormat="1" ht="75" customHeight="1" x14ac:dyDescent="0.15">
      <c r="B7" s="85"/>
      <c r="C7" s="162"/>
      <c r="D7" s="11"/>
      <c r="E7" s="132"/>
      <c r="F7" s="132">
        <v>0.625</v>
      </c>
      <c r="G7" s="136"/>
      <c r="H7" s="54"/>
      <c r="I7" s="86"/>
    </row>
    <row r="8" spans="2:9" s="36" customFormat="1" ht="25" customHeight="1" x14ac:dyDescent="0.2">
      <c r="B8" s="80"/>
      <c r="C8" s="119">
        <f t="array" ref="C8:I8">DaysAndWeeks+DATE(CalendarYear,5,1)-WEEKDAY(DATE(CalendarYear,5,1),(WeekStart="M")+1)+8</f>
        <v>45053</v>
      </c>
      <c r="D8" s="114">
        <v>45054</v>
      </c>
      <c r="E8" s="114">
        <v>45055</v>
      </c>
      <c r="F8" s="114">
        <v>45056</v>
      </c>
      <c r="G8" s="114">
        <v>45057</v>
      </c>
      <c r="H8" s="114">
        <v>45058</v>
      </c>
      <c r="I8" s="115">
        <v>45059</v>
      </c>
    </row>
    <row r="9" spans="2:9" s="55" customFormat="1" ht="75" customHeight="1" x14ac:dyDescent="0.15">
      <c r="B9" s="85"/>
      <c r="C9" s="132"/>
      <c r="D9" s="132">
        <v>0.625</v>
      </c>
      <c r="E9" s="132"/>
      <c r="F9" s="132">
        <v>0.625</v>
      </c>
      <c r="G9" s="132"/>
      <c r="H9" s="132">
        <v>0.625</v>
      </c>
      <c r="I9" s="86"/>
    </row>
    <row r="10" spans="2:9" s="36" customFormat="1" ht="25" customHeight="1" x14ac:dyDescent="0.2">
      <c r="B10" s="80"/>
      <c r="C10" s="119">
        <f t="array" ref="C10:I10">DaysAndWeeks+DATE(CalendarYear,5,1)-WEEKDAY(DATE(CalendarYear,5,1),(WeekStart="M")+1)+15</f>
        <v>45060</v>
      </c>
      <c r="D10" s="114">
        <v>45061</v>
      </c>
      <c r="E10" s="114">
        <v>45062</v>
      </c>
      <c r="F10" s="122">
        <v>45063</v>
      </c>
      <c r="G10" s="114">
        <v>45064</v>
      </c>
      <c r="H10" s="114">
        <v>45065</v>
      </c>
      <c r="I10" s="115">
        <v>45066</v>
      </c>
    </row>
    <row r="11" spans="2:9" s="55" customFormat="1" ht="75" customHeight="1" x14ac:dyDescent="0.15">
      <c r="B11" s="85"/>
      <c r="C11" s="135"/>
      <c r="D11" s="54"/>
      <c r="E11" s="132"/>
      <c r="F11" s="190">
        <v>0.625</v>
      </c>
      <c r="G11" s="136"/>
      <c r="H11" s="54"/>
      <c r="I11" s="86"/>
    </row>
    <row r="12" spans="2:9" s="36" customFormat="1" ht="25" customHeight="1" x14ac:dyDescent="0.2">
      <c r="B12" s="80"/>
      <c r="C12" s="119">
        <f t="array" ref="C12:I12">DaysAndWeeks+DATE(CalendarYear,5,1)-WEEKDAY(DATE(CalendarYear,5,1),(WeekStart="M")+1)+22</f>
        <v>45067</v>
      </c>
      <c r="D12" s="114">
        <v>45068</v>
      </c>
      <c r="E12" s="114">
        <v>45069</v>
      </c>
      <c r="F12" s="114">
        <v>45070</v>
      </c>
      <c r="G12" s="114">
        <v>45071</v>
      </c>
      <c r="H12" s="114">
        <v>45072</v>
      </c>
      <c r="I12" s="115">
        <v>45073</v>
      </c>
    </row>
    <row r="13" spans="2:9" s="55" customFormat="1" ht="75" customHeight="1" x14ac:dyDescent="0.15">
      <c r="B13" s="85"/>
      <c r="C13" s="132"/>
      <c r="D13" s="132">
        <v>0.625</v>
      </c>
      <c r="E13" s="132"/>
      <c r="F13" s="54"/>
      <c r="G13" s="132"/>
      <c r="H13" s="132">
        <v>0.625</v>
      </c>
      <c r="I13" s="86"/>
    </row>
    <row r="14" spans="2:9" s="36" customFormat="1" ht="25" customHeight="1" x14ac:dyDescent="0.2">
      <c r="B14" s="80"/>
      <c r="C14" s="119">
        <f t="array" ref="C14:I14">DaysAndWeeks+DATE(CalendarYear,5,1)-WEEKDAY(DATE(CalendarYear,5,1),(WeekStart="M")+1)+29</f>
        <v>45074</v>
      </c>
      <c r="D14" s="114">
        <v>45075</v>
      </c>
      <c r="E14" s="114">
        <v>45076</v>
      </c>
      <c r="F14" s="114">
        <v>45077</v>
      </c>
      <c r="G14" s="37">
        <v>45078</v>
      </c>
      <c r="H14" s="37">
        <v>45079</v>
      </c>
      <c r="I14" s="72">
        <v>45080</v>
      </c>
    </row>
    <row r="15" spans="2:9" s="55" customFormat="1" ht="75" customHeight="1" x14ac:dyDescent="0.15">
      <c r="B15" s="85"/>
      <c r="C15" s="135"/>
      <c r="D15" s="139"/>
      <c r="E15" s="132"/>
      <c r="F15" s="132">
        <v>0.625</v>
      </c>
      <c r="G15" s="56"/>
      <c r="H15" s="56"/>
      <c r="I15" s="92"/>
    </row>
    <row r="16" spans="2:9" s="34" customFormat="1" ht="25" customHeight="1" x14ac:dyDescent="0.2">
      <c r="B16" s="78"/>
      <c r="C16" s="44">
        <f t="array" ref="C16:I16">DaysAndWeeks+DATE(CalendarYear,5,1)-WEEKDAY(DATE(CalendarYear,5,1),(WeekStart="M")+1)+36</f>
        <v>45081</v>
      </c>
      <c r="D16" s="37">
        <v>45082</v>
      </c>
      <c r="E16" s="37">
        <v>45083</v>
      </c>
      <c r="F16" s="37">
        <v>45084</v>
      </c>
      <c r="G16" s="37">
        <v>45085</v>
      </c>
      <c r="H16" s="37">
        <v>45086</v>
      </c>
      <c r="I16" s="72">
        <v>45087</v>
      </c>
    </row>
    <row r="17" spans="2:9" ht="75" customHeight="1" x14ac:dyDescent="0.15">
      <c r="B17" s="77"/>
      <c r="C17" s="49"/>
      <c r="D17" s="48"/>
      <c r="E17" s="48"/>
      <c r="F17" s="48"/>
      <c r="G17" s="48"/>
      <c r="H17" s="48"/>
      <c r="I17" s="99"/>
    </row>
    <row r="18" spans="2:9" ht="125" customHeight="1" thickBot="1" x14ac:dyDescent="0.2">
      <c r="B18" s="77"/>
      <c r="C18" s="174" t="s">
        <v>7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23" priority="3">
      <formula>DAY(C6)&gt;8</formula>
    </cfRule>
  </conditionalFormatting>
  <conditionalFormatting sqref="C14:I14 C16:I17 C15:D15 F15:I15">
    <cfRule type="expression" dxfId="22" priority="2">
      <formula>AND(DAY(C14)&gt;=1,DAY(C14)&lt;=15)</formula>
    </cfRule>
  </conditionalFormatting>
  <conditionalFormatting sqref="C18">
    <cfRule type="expression" dxfId="21" priority="1">
      <formula>AND(DAY(C18)&gt;=1,DAY(C18)&lt;=15)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11" activePane="bottomLeft" state="frozen"/>
      <selection pane="bottomLeft" activeCell="D6" sqref="D6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72" t="s">
        <v>0</v>
      </c>
      <c r="D2" s="172"/>
      <c r="E2" s="172"/>
      <c r="F2" s="172"/>
      <c r="G2" s="172"/>
      <c r="H2" s="172"/>
      <c r="I2" s="173"/>
    </row>
    <row r="3" spans="2:9" ht="20" customHeight="1" x14ac:dyDescent="0.3">
      <c r="B3" s="77"/>
      <c r="C3" s="60"/>
      <c r="D3" s="61"/>
      <c r="E3" s="61"/>
      <c r="F3" s="62"/>
      <c r="G3" s="19" t="s">
        <v>20</v>
      </c>
      <c r="H3" s="19" t="s">
        <v>21</v>
      </c>
      <c r="I3" s="81"/>
    </row>
    <row r="4" spans="2:9" ht="75" customHeight="1" x14ac:dyDescent="0.65">
      <c r="B4" s="77"/>
      <c r="C4" s="146">
        <f>CalendarYear</f>
        <v>2023</v>
      </c>
      <c r="D4" s="182" t="s">
        <v>22</v>
      </c>
      <c r="E4" s="182"/>
      <c r="F4" s="182"/>
      <c r="G4" s="182"/>
      <c r="H4" s="182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4" customFormat="1" ht="25" customHeight="1" x14ac:dyDescent="0.2">
      <c r="B6" s="78"/>
      <c r="C6" s="44">
        <f t="array" ref="C6:I6">DaysAndWeeks+DATE(CalendarYear,6,1)-WEEKDAY(DATE(CalendarYear,6,1),(WeekStart="M")+1)+1</f>
        <v>45074</v>
      </c>
      <c r="D6" s="37">
        <v>45075</v>
      </c>
      <c r="E6" s="37">
        <v>45076</v>
      </c>
      <c r="F6" s="37">
        <v>45077</v>
      </c>
      <c r="G6" s="35">
        <v>45078</v>
      </c>
      <c r="H6" s="35">
        <v>45079</v>
      </c>
      <c r="I6" s="70">
        <v>45080</v>
      </c>
    </row>
    <row r="7" spans="2:9" s="68" customFormat="1" ht="75" customHeight="1" x14ac:dyDescent="0.15">
      <c r="B7" s="79"/>
      <c r="C7" s="69"/>
      <c r="D7" s="67"/>
      <c r="E7" s="138"/>
      <c r="F7" s="163"/>
      <c r="G7" s="137"/>
      <c r="H7" s="63"/>
      <c r="I7" s="71"/>
    </row>
    <row r="8" spans="2:9" s="36" customFormat="1" ht="25" customHeight="1" x14ac:dyDescent="0.2">
      <c r="B8" s="80"/>
      <c r="C8" s="38">
        <f t="array" ref="C8:I8">DaysAndWeeks+DATE(CalendarYear,6,1)-WEEKDAY(DATE(CalendarYear,6,1),(WeekStart="M")+1)+8</f>
        <v>45081</v>
      </c>
      <c r="D8" s="35">
        <v>45082</v>
      </c>
      <c r="E8" s="35">
        <v>45083</v>
      </c>
      <c r="F8" s="35">
        <v>45084</v>
      </c>
      <c r="G8" s="35">
        <v>45085</v>
      </c>
      <c r="H8" s="35">
        <v>45086</v>
      </c>
      <c r="I8" s="70">
        <v>45087</v>
      </c>
    </row>
    <row r="9" spans="2:9" s="68" customFormat="1" ht="75" customHeight="1" x14ac:dyDescent="0.15">
      <c r="B9" s="79"/>
      <c r="C9" s="132"/>
      <c r="D9" s="128">
        <v>0.625</v>
      </c>
      <c r="E9" s="132"/>
      <c r="F9" s="128">
        <v>0.625</v>
      </c>
      <c r="G9" s="132"/>
      <c r="H9" s="128">
        <v>0.625</v>
      </c>
      <c r="I9" s="71"/>
    </row>
    <row r="10" spans="2:9" s="36" customFormat="1" ht="25" customHeight="1" x14ac:dyDescent="0.2">
      <c r="B10" s="80"/>
      <c r="C10" s="38">
        <f t="array" ref="C10:I10">DaysAndWeeks+DATE(CalendarYear,6,1)-WEEKDAY(DATE(CalendarYear,6,1),(WeekStart="M")+1)+15</f>
        <v>45088</v>
      </c>
      <c r="D10" s="35">
        <v>45089</v>
      </c>
      <c r="E10" s="35">
        <v>45090</v>
      </c>
      <c r="F10" s="35">
        <v>45091</v>
      </c>
      <c r="G10" s="35">
        <v>45092</v>
      </c>
      <c r="H10" s="35">
        <v>45093</v>
      </c>
      <c r="I10" s="70">
        <v>45094</v>
      </c>
    </row>
    <row r="11" spans="2:9" s="68" customFormat="1" ht="75" customHeight="1" x14ac:dyDescent="0.15">
      <c r="B11" s="79"/>
      <c r="C11" s="141"/>
      <c r="D11" s="140"/>
      <c r="E11" s="132"/>
      <c r="F11" s="128">
        <v>0.625</v>
      </c>
      <c r="G11" s="137"/>
      <c r="H11" s="63"/>
      <c r="I11" s="71"/>
    </row>
    <row r="12" spans="2:9" s="36" customFormat="1" ht="25" customHeight="1" x14ac:dyDescent="0.2">
      <c r="B12" s="80"/>
      <c r="C12" s="38">
        <f t="array" ref="C12:I12">DaysAndWeeks+DATE(CalendarYear,6,1)-WEEKDAY(DATE(CalendarYear,6,1),(WeekStart="M")+1)+22</f>
        <v>45095</v>
      </c>
      <c r="D12" s="35">
        <v>45096</v>
      </c>
      <c r="E12" s="35">
        <v>45097</v>
      </c>
      <c r="F12" s="35">
        <v>45098</v>
      </c>
      <c r="G12" s="35">
        <v>45099</v>
      </c>
      <c r="H12" s="35">
        <v>45100</v>
      </c>
      <c r="I12" s="70">
        <v>45101</v>
      </c>
    </row>
    <row r="13" spans="2:9" s="68" customFormat="1" ht="75" customHeight="1" x14ac:dyDescent="0.15">
      <c r="B13" s="79"/>
      <c r="C13" s="132"/>
      <c r="D13" s="128">
        <v>0.625</v>
      </c>
      <c r="E13" s="132"/>
      <c r="F13" s="128">
        <v>0.625</v>
      </c>
      <c r="G13" s="132"/>
      <c r="H13" s="128">
        <v>0.625</v>
      </c>
      <c r="I13" s="71"/>
    </row>
    <row r="14" spans="2:9" s="36" customFormat="1" ht="25" customHeight="1" x14ac:dyDescent="0.2">
      <c r="B14" s="80"/>
      <c r="C14" s="38">
        <f t="array" ref="C14:I14">DaysAndWeeks+DATE(CalendarYear,6,1)-WEEKDAY(DATE(CalendarYear,6,1),(WeekStart="M")+1)+29</f>
        <v>45102</v>
      </c>
      <c r="D14" s="35">
        <v>45103</v>
      </c>
      <c r="E14" s="35">
        <v>45104</v>
      </c>
      <c r="F14" s="35">
        <v>45105</v>
      </c>
      <c r="G14" s="35">
        <v>45106</v>
      </c>
      <c r="H14" s="148">
        <v>45107</v>
      </c>
      <c r="I14" s="72">
        <v>45108</v>
      </c>
    </row>
    <row r="15" spans="2:9" s="68" customFormat="1" ht="75" customHeight="1" x14ac:dyDescent="0.15">
      <c r="B15" s="79"/>
      <c r="C15" s="141"/>
      <c r="D15" s="140"/>
      <c r="E15" s="132"/>
      <c r="F15" s="128">
        <v>0.625</v>
      </c>
      <c r="G15" s="137"/>
      <c r="H15" s="164"/>
      <c r="I15" s="73"/>
    </row>
    <row r="16" spans="2:9" s="34" customFormat="1" ht="25" customHeight="1" x14ac:dyDescent="0.2">
      <c r="B16" s="78"/>
      <c r="C16" s="44">
        <f t="array" ref="C16:I16">DaysAndWeeks+DATE(CalendarYear,6,1)-WEEKDAY(DATE(CalendarYear,6,1),(WeekStart="M")+1)+36</f>
        <v>45109</v>
      </c>
      <c r="D16" s="37">
        <v>45110</v>
      </c>
      <c r="E16" s="37">
        <v>45111</v>
      </c>
      <c r="F16" s="37">
        <v>45112</v>
      </c>
      <c r="G16" s="37">
        <v>45113</v>
      </c>
      <c r="H16" s="37">
        <v>45114</v>
      </c>
      <c r="I16" s="72">
        <v>45115</v>
      </c>
    </row>
    <row r="17" spans="2:9" s="34" customFormat="1" ht="75" customHeight="1" x14ac:dyDescent="0.2">
      <c r="B17" s="78"/>
      <c r="C17" s="74"/>
      <c r="D17" s="65"/>
      <c r="E17" s="65"/>
      <c r="F17" s="65"/>
      <c r="G17" s="65"/>
      <c r="H17" s="65"/>
      <c r="I17" s="75"/>
    </row>
    <row r="18" spans="2:9" ht="125" customHeight="1" thickBot="1" x14ac:dyDescent="0.2">
      <c r="B18" s="77"/>
      <c r="C18" s="179" t="s">
        <v>7</v>
      </c>
      <c r="D18" s="180"/>
      <c r="E18" s="180"/>
      <c r="F18" s="180"/>
      <c r="G18" s="180"/>
      <c r="H18" s="180"/>
      <c r="I18" s="181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20" priority="3">
      <formula>DAY(C6)&gt;8</formula>
    </cfRule>
  </conditionalFormatting>
  <conditionalFormatting sqref="C14:I14 C16:I17 C15:D15 F15:I15">
    <cfRule type="expression" dxfId="19" priority="2">
      <formula>AND(DAY(C14)&gt;=1,DAY(C14)&lt;=15)</formula>
    </cfRule>
  </conditionalFormatting>
  <conditionalFormatting sqref="C18">
    <cfRule type="expression" dxfId="18" priority="1">
      <formula>AND(DAY(C18)&gt;=1,DAY(C18)&lt;=15)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="75" zoomScaleNormal="100" workbookViewId="0">
      <pane ySplit="5" topLeftCell="A6" activePane="bottomLeft" state="frozen"/>
      <selection pane="bottomLeft" activeCell="C2" sqref="C2:I2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72" t="s">
        <v>0</v>
      </c>
      <c r="D2" s="172"/>
      <c r="E2" s="172"/>
      <c r="F2" s="172"/>
      <c r="G2" s="172"/>
      <c r="H2" s="172"/>
      <c r="I2" s="173"/>
    </row>
    <row r="3" spans="2:9" ht="20" customHeight="1" x14ac:dyDescent="0.3">
      <c r="B3" s="77"/>
      <c r="C3" s="60"/>
      <c r="D3" s="61"/>
      <c r="E3" s="61"/>
      <c r="F3" s="62"/>
      <c r="G3" s="19" t="s">
        <v>23</v>
      </c>
      <c r="H3" s="19" t="s">
        <v>24</v>
      </c>
      <c r="I3" s="81"/>
    </row>
    <row r="4" spans="2:9" ht="75" customHeight="1" x14ac:dyDescent="0.65">
      <c r="B4" s="77"/>
      <c r="C4" s="146">
        <f>CalendarYear</f>
        <v>2023</v>
      </c>
      <c r="D4" s="178" t="s">
        <v>25</v>
      </c>
      <c r="E4" s="178"/>
      <c r="F4" s="178"/>
      <c r="G4" s="178"/>
      <c r="H4" s="178"/>
      <c r="I4" s="147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6" customFormat="1" ht="25" customHeight="1" x14ac:dyDescent="0.2">
      <c r="B6" s="80"/>
      <c r="C6" s="44">
        <f t="array" ref="C6:I6">DaysAndWeeks+DATE(CalendarYear,7,1)-WEEKDAY(DATE(CalendarYear,7,1),(WeekStart="M")+1)+1</f>
        <v>45102</v>
      </c>
      <c r="D6" s="37">
        <v>45103</v>
      </c>
      <c r="E6" s="37">
        <v>45104</v>
      </c>
      <c r="F6" s="66">
        <v>45105</v>
      </c>
      <c r="G6" s="37">
        <v>45106</v>
      </c>
      <c r="H6" s="37">
        <v>45107</v>
      </c>
      <c r="I6" s="70">
        <v>45108</v>
      </c>
    </row>
    <row r="7" spans="2:9" s="55" customFormat="1" ht="75" customHeight="1" x14ac:dyDescent="0.15">
      <c r="B7" s="85"/>
      <c r="C7" s="58"/>
      <c r="D7" s="56"/>
      <c r="E7" s="56"/>
      <c r="F7" s="100"/>
      <c r="G7" s="142"/>
      <c r="H7" s="56"/>
      <c r="I7" s="86"/>
    </row>
    <row r="8" spans="2:9" s="36" customFormat="1" ht="25" customHeight="1" x14ac:dyDescent="0.2">
      <c r="B8" s="80"/>
      <c r="C8" s="38">
        <f t="array" ref="C8:I8">DaysAndWeeks+DATE(CalendarYear,7,1)-WEEKDAY(DATE(CalendarYear,7,1),(WeekStart="M")+1)+8</f>
        <v>45109</v>
      </c>
      <c r="D8" s="35">
        <v>45110</v>
      </c>
      <c r="E8" s="35">
        <v>45111</v>
      </c>
      <c r="F8" s="35">
        <v>45112</v>
      </c>
      <c r="G8" s="35">
        <v>45113</v>
      </c>
      <c r="H8" s="35">
        <v>45114</v>
      </c>
      <c r="I8" s="70">
        <v>45115</v>
      </c>
    </row>
    <row r="9" spans="2:9" s="55" customFormat="1" ht="75" customHeight="1" x14ac:dyDescent="0.15">
      <c r="B9" s="85"/>
      <c r="C9" s="132"/>
      <c r="D9" s="132">
        <v>0.625</v>
      </c>
      <c r="E9" s="132"/>
      <c r="F9" s="132">
        <v>0.625</v>
      </c>
      <c r="G9" s="132"/>
      <c r="H9" s="132">
        <v>0.625</v>
      </c>
      <c r="I9" s="86"/>
    </row>
    <row r="10" spans="2:9" s="36" customFormat="1" ht="25" customHeight="1" x14ac:dyDescent="0.2">
      <c r="B10" s="80"/>
      <c r="C10" s="38">
        <f t="array" ref="C10:I10">DaysAndWeeks+DATE(CalendarYear,7,1)-WEEKDAY(DATE(CalendarYear,7,1),(WeekStart="M")+1)+15</f>
        <v>45116</v>
      </c>
      <c r="D10" s="35">
        <v>45117</v>
      </c>
      <c r="E10" s="35">
        <v>45118</v>
      </c>
      <c r="F10" s="35">
        <v>45119</v>
      </c>
      <c r="G10" s="35">
        <v>45120</v>
      </c>
      <c r="H10" s="35">
        <v>45121</v>
      </c>
      <c r="I10" s="70">
        <v>45122</v>
      </c>
    </row>
    <row r="11" spans="2:9" s="55" customFormat="1" ht="75" customHeight="1" x14ac:dyDescent="0.15">
      <c r="B11" s="85"/>
      <c r="C11" s="135"/>
      <c r="D11" s="139"/>
      <c r="E11" s="132"/>
      <c r="F11" s="132">
        <v>0.625</v>
      </c>
      <c r="G11" s="136"/>
      <c r="H11" s="54"/>
      <c r="I11" s="86"/>
    </row>
    <row r="12" spans="2:9" s="36" customFormat="1" ht="25" customHeight="1" x14ac:dyDescent="0.2">
      <c r="B12" s="80"/>
      <c r="C12" s="38">
        <f t="array" ref="C12:I12">DaysAndWeeks+DATE(CalendarYear,7,1)-WEEKDAY(DATE(CalendarYear,7,1),(WeekStart="M")+1)+22</f>
        <v>45123</v>
      </c>
      <c r="D12" s="35">
        <v>45124</v>
      </c>
      <c r="E12" s="35">
        <v>45125</v>
      </c>
      <c r="F12" s="35">
        <v>45126</v>
      </c>
      <c r="G12" s="35">
        <v>45127</v>
      </c>
      <c r="H12" s="35">
        <v>45128</v>
      </c>
      <c r="I12" s="70">
        <v>45129</v>
      </c>
    </row>
    <row r="13" spans="2:9" s="55" customFormat="1" ht="75" customHeight="1" x14ac:dyDescent="0.15">
      <c r="B13" s="85"/>
      <c r="C13" s="132"/>
      <c r="D13" s="132">
        <v>0.625</v>
      </c>
      <c r="E13" s="132"/>
      <c r="F13" s="132">
        <v>0.625</v>
      </c>
      <c r="G13" s="132"/>
      <c r="H13" s="132">
        <v>0.625</v>
      </c>
      <c r="I13" s="86"/>
    </row>
    <row r="14" spans="2:9" s="34" customFormat="1" ht="25" customHeight="1" x14ac:dyDescent="0.2">
      <c r="B14" s="78"/>
      <c r="C14" s="38">
        <f t="array" ref="C14:I14">DaysAndWeeks+DATE(CalendarYear,7,1)-WEEKDAY(DATE(CalendarYear,7,1),(WeekStart="M")+1)+29</f>
        <v>45130</v>
      </c>
      <c r="D14" s="35">
        <v>45131</v>
      </c>
      <c r="E14" s="35">
        <v>45132</v>
      </c>
      <c r="F14" s="35">
        <v>45133</v>
      </c>
      <c r="G14" s="35">
        <v>45134</v>
      </c>
      <c r="H14" s="35">
        <v>45135</v>
      </c>
      <c r="I14" s="70">
        <v>45136</v>
      </c>
    </row>
    <row r="15" spans="2:9" s="55" customFormat="1" ht="75" customHeight="1" x14ac:dyDescent="0.15">
      <c r="B15" s="85"/>
      <c r="C15" s="135"/>
      <c r="D15" s="139"/>
      <c r="E15" s="132"/>
      <c r="F15" s="132">
        <v>0.625</v>
      </c>
      <c r="G15" s="136"/>
      <c r="H15" s="54"/>
      <c r="I15" s="101"/>
    </row>
    <row r="16" spans="2:9" s="36" customFormat="1" ht="25" customHeight="1" x14ac:dyDescent="0.2">
      <c r="B16" s="80"/>
      <c r="C16" s="38">
        <f t="array" ref="C16:I16">DaysAndWeeks+DATE(CalendarYear,7,1)-WEEKDAY(DATE(CalendarYear,7,1),(WeekStart="M")+1)+36</f>
        <v>45137</v>
      </c>
      <c r="D16" s="114">
        <v>45138</v>
      </c>
      <c r="E16" s="37">
        <v>45139</v>
      </c>
      <c r="F16" s="37">
        <v>45140</v>
      </c>
      <c r="G16" s="37">
        <v>45141</v>
      </c>
      <c r="H16" s="37">
        <v>45142</v>
      </c>
      <c r="I16" s="72">
        <v>45143</v>
      </c>
    </row>
    <row r="17" spans="2:9" s="55" customFormat="1" ht="75" customHeight="1" x14ac:dyDescent="0.15">
      <c r="B17" s="85"/>
      <c r="C17" s="132"/>
      <c r="D17" s="132">
        <v>0.625</v>
      </c>
      <c r="E17" s="56"/>
      <c r="F17" s="56"/>
      <c r="G17" s="56"/>
      <c r="H17" s="56"/>
      <c r="I17" s="92"/>
    </row>
    <row r="18" spans="2:9" ht="125" customHeight="1" thickBot="1" x14ac:dyDescent="0.2">
      <c r="B18" s="77"/>
      <c r="C18" s="174" t="s">
        <v>7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17" priority="3">
      <formula>DAY(C6)&gt;8</formula>
    </cfRule>
  </conditionalFormatting>
  <conditionalFormatting sqref="C14:I14 D17:I17 C16:I16 C15:D15 F15:I15">
    <cfRule type="expression" dxfId="16" priority="2">
      <formula>AND(DAY(C14)&gt;=1,DAY(C14)&lt;=15)</formula>
    </cfRule>
  </conditionalFormatting>
  <conditionalFormatting sqref="C18">
    <cfRule type="expression" dxfId="15" priority="1">
      <formula>AND(DAY(C18)&gt;=1,DAY(C18)&lt;=15)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="88" zoomScaleNormal="100" workbookViewId="0">
      <pane ySplit="5" topLeftCell="A15" activePane="bottomLeft" state="frozen"/>
      <selection pane="bottomLeft" activeCell="D7" sqref="D7"/>
    </sheetView>
  </sheetViews>
  <sheetFormatPr baseColWidth="10" defaultColWidth="8.625" defaultRowHeight="17" x14ac:dyDescent="0.15"/>
  <cols>
    <col min="1" max="2" width="2.625" style="34" customWidth="1"/>
    <col min="3" max="9" width="24.375" style="34" customWidth="1"/>
    <col min="10" max="16384" width="8.625" style="34"/>
  </cols>
  <sheetData>
    <row r="1" spans="2:9" ht="15" customHeight="1" thickBot="1" x14ac:dyDescent="0.2"/>
    <row r="2" spans="2:9" ht="75" customHeight="1" thickTop="1" x14ac:dyDescent="0.15">
      <c r="B2" s="78"/>
      <c r="C2" s="172" t="s">
        <v>0</v>
      </c>
      <c r="D2" s="172"/>
      <c r="E2" s="172"/>
      <c r="F2" s="172"/>
      <c r="G2" s="172"/>
      <c r="H2" s="172"/>
      <c r="I2" s="173"/>
    </row>
    <row r="3" spans="2:9" ht="20" customHeight="1" x14ac:dyDescent="0.2">
      <c r="B3" s="78"/>
      <c r="C3" s="102"/>
      <c r="D3" s="103"/>
      <c r="E3" s="103"/>
      <c r="F3" s="104"/>
      <c r="G3" s="50" t="s">
        <v>26</v>
      </c>
      <c r="H3" s="50" t="s">
        <v>27</v>
      </c>
      <c r="I3" s="110"/>
    </row>
    <row r="4" spans="2:9" ht="75" customHeight="1" x14ac:dyDescent="0.65">
      <c r="B4" s="78"/>
      <c r="C4" s="146">
        <f>CalendarYear</f>
        <v>2023</v>
      </c>
      <c r="D4" s="178" t="s">
        <v>28</v>
      </c>
      <c r="E4" s="178"/>
      <c r="F4" s="178"/>
      <c r="G4" s="178"/>
      <c r="H4" s="178"/>
      <c r="I4" s="147"/>
    </row>
    <row r="5" spans="2:9" ht="35" customHeight="1" x14ac:dyDescent="0.15">
      <c r="B5" s="78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105" customFormat="1" ht="25" customHeight="1" x14ac:dyDescent="0.2">
      <c r="B6" s="108"/>
      <c r="C6" s="107">
        <f t="array" ref="C6:I6">DaysAndWeeks+DATE(CalendarYear,8,1)-WEEKDAY(DATE(CalendarYear,8,1),(WeekStart="M")+1)+1</f>
        <v>45137</v>
      </c>
      <c r="D6" s="107">
        <v>45138</v>
      </c>
      <c r="E6" s="64">
        <v>45139</v>
      </c>
      <c r="F6" s="64">
        <v>45140</v>
      </c>
      <c r="G6" s="64">
        <v>45141</v>
      </c>
      <c r="H6" s="64">
        <v>45142</v>
      </c>
      <c r="I6" s="109">
        <v>45143</v>
      </c>
    </row>
    <row r="7" spans="2:9" s="68" customFormat="1" ht="75" customHeight="1" x14ac:dyDescent="0.15">
      <c r="B7" s="79"/>
      <c r="C7" s="143">
        <v>0.625</v>
      </c>
      <c r="D7" s="143"/>
      <c r="E7" s="132"/>
      <c r="F7" s="128">
        <v>0.625</v>
      </c>
      <c r="G7" s="132"/>
      <c r="H7" s="128">
        <v>0.625</v>
      </c>
      <c r="I7" s="71"/>
    </row>
    <row r="8" spans="2:9" ht="25" customHeight="1" x14ac:dyDescent="0.2">
      <c r="B8" s="78"/>
      <c r="C8" s="38">
        <f t="array" ref="C8:I8">DaysAndWeeks+DATE(CalendarYear,8,1)-WEEKDAY(DATE(CalendarYear,8,1),(WeekStart="M")+1)+8</f>
        <v>45144</v>
      </c>
      <c r="D8" s="114">
        <v>45145</v>
      </c>
      <c r="E8" s="35">
        <v>45146</v>
      </c>
      <c r="F8" s="35">
        <v>45147</v>
      </c>
      <c r="G8" s="35">
        <v>45148</v>
      </c>
      <c r="H8" s="35">
        <v>45149</v>
      </c>
      <c r="I8" s="70">
        <v>45150</v>
      </c>
    </row>
    <row r="9" spans="2:9" s="68" customFormat="1" ht="75" customHeight="1" x14ac:dyDescent="0.15">
      <c r="B9" s="79"/>
      <c r="C9" s="141"/>
      <c r="D9" s="140"/>
      <c r="E9" s="132"/>
      <c r="F9" s="128">
        <v>0.625</v>
      </c>
      <c r="G9" s="137"/>
      <c r="H9" s="63"/>
      <c r="I9" s="71"/>
    </row>
    <row r="10" spans="2:9" ht="25" customHeight="1" x14ac:dyDescent="0.2">
      <c r="B10" s="78"/>
      <c r="C10" s="38">
        <f t="array" ref="C10:I10">DaysAndWeeks+DATE(CalendarYear,8,1)-WEEKDAY(DATE(CalendarYear,8,1),(WeekStart="M")+1)+15</f>
        <v>45151</v>
      </c>
      <c r="D10" s="114">
        <v>45152</v>
      </c>
      <c r="E10" s="35">
        <v>45153</v>
      </c>
      <c r="F10" s="35">
        <v>45154</v>
      </c>
      <c r="G10" s="35">
        <v>45155</v>
      </c>
      <c r="H10" s="35">
        <v>45156</v>
      </c>
      <c r="I10" s="70">
        <v>45157</v>
      </c>
    </row>
    <row r="11" spans="2:9" s="68" customFormat="1" ht="75" customHeight="1" x14ac:dyDescent="0.15">
      <c r="B11" s="79"/>
      <c r="C11" s="132"/>
      <c r="D11" s="128">
        <v>0.625</v>
      </c>
      <c r="E11" s="132"/>
      <c r="F11" s="128">
        <v>0.625</v>
      </c>
      <c r="G11" s="132"/>
      <c r="H11" s="128">
        <v>0.625</v>
      </c>
      <c r="I11" s="71"/>
    </row>
    <row r="12" spans="2:9" ht="25" customHeight="1" x14ac:dyDescent="0.2">
      <c r="B12" s="78"/>
      <c r="C12" s="38">
        <f t="array" ref="C12:I12">DaysAndWeeks+DATE(CalendarYear,8,1)-WEEKDAY(DATE(CalendarYear,8,1),(WeekStart="M")+1)+22</f>
        <v>45158</v>
      </c>
      <c r="D12" s="114">
        <v>45159</v>
      </c>
      <c r="E12" s="35">
        <v>45160</v>
      </c>
      <c r="F12" s="35">
        <v>45161</v>
      </c>
      <c r="G12" s="35">
        <v>45162</v>
      </c>
      <c r="H12" s="35">
        <v>45163</v>
      </c>
      <c r="I12" s="70">
        <v>45164</v>
      </c>
    </row>
    <row r="13" spans="2:9" s="68" customFormat="1" ht="75" customHeight="1" x14ac:dyDescent="0.15">
      <c r="B13" s="79"/>
      <c r="C13" s="141"/>
      <c r="D13" s="140"/>
      <c r="E13" s="132"/>
      <c r="F13" s="128">
        <v>0.625</v>
      </c>
      <c r="G13" s="137"/>
      <c r="H13" s="63"/>
      <c r="I13" s="71"/>
    </row>
    <row r="14" spans="2:9" ht="25" customHeight="1" x14ac:dyDescent="0.2">
      <c r="B14" s="78"/>
      <c r="C14" s="38">
        <f t="array" ref="C14:I14">DaysAndWeeks+DATE(CalendarYear,8,1)-WEEKDAY(DATE(CalendarYear,8,1),(WeekStart="M")+1)+29</f>
        <v>45165</v>
      </c>
      <c r="D14" s="35">
        <v>45166</v>
      </c>
      <c r="E14" s="35">
        <v>45167</v>
      </c>
      <c r="F14" s="35">
        <v>45168</v>
      </c>
      <c r="G14" s="114">
        <v>45169</v>
      </c>
      <c r="H14" s="37">
        <v>45170</v>
      </c>
      <c r="I14" s="72">
        <v>45171</v>
      </c>
    </row>
    <row r="15" spans="2:9" s="68" customFormat="1" ht="75" customHeight="1" x14ac:dyDescent="0.15">
      <c r="B15" s="79"/>
      <c r="C15" s="132"/>
      <c r="D15" s="128">
        <v>0.625</v>
      </c>
      <c r="E15" s="132"/>
      <c r="F15" s="128">
        <v>0.625</v>
      </c>
      <c r="G15" s="132"/>
      <c r="H15" s="67"/>
      <c r="I15" s="73"/>
    </row>
    <row r="16" spans="2:9" ht="25" customHeight="1" x14ac:dyDescent="0.2">
      <c r="B16" s="78"/>
      <c r="C16" s="44">
        <f t="array" ref="C16:I16">DaysAndWeeks+DATE(CalendarYear,8,1)-WEEKDAY(DATE(CalendarYear,8,1),(WeekStart="M")+1)+36</f>
        <v>45172</v>
      </c>
      <c r="D16" s="37">
        <v>45173</v>
      </c>
      <c r="E16" s="37">
        <v>45174</v>
      </c>
      <c r="F16" s="37">
        <v>45175</v>
      </c>
      <c r="G16" s="37">
        <v>45176</v>
      </c>
      <c r="H16" s="37">
        <v>45177</v>
      </c>
      <c r="I16" s="72">
        <v>45178</v>
      </c>
    </row>
    <row r="17" spans="2:9" s="68" customFormat="1" ht="75" customHeight="1" x14ac:dyDescent="0.15">
      <c r="B17" s="79"/>
      <c r="C17" s="69"/>
      <c r="D17" s="67"/>
      <c r="E17" s="67"/>
      <c r="F17" s="67"/>
      <c r="G17" s="67"/>
      <c r="H17" s="67"/>
      <c r="I17" s="73"/>
    </row>
    <row r="18" spans="2:9" s="1" customFormat="1" ht="125" customHeight="1" thickBot="1" x14ac:dyDescent="0.2">
      <c r="B18" s="77"/>
      <c r="C18" s="174" t="s">
        <v>7</v>
      </c>
      <c r="D18" s="175"/>
      <c r="E18" s="175"/>
      <c r="F18" s="175"/>
      <c r="G18" s="175"/>
      <c r="H18" s="175"/>
      <c r="I18" s="176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14" priority="3">
      <formula>DAY(C6)&gt;8</formula>
    </cfRule>
  </conditionalFormatting>
  <conditionalFormatting sqref="C14:I14 C16:I17 D15 F15 H15:I15">
    <cfRule type="expression" dxfId="13" priority="2">
      <formula>AND(DAY(C14)&gt;=1,DAY(C14)&lt;=15)</formula>
    </cfRule>
  </conditionalFormatting>
  <conditionalFormatting sqref="C18">
    <cfRule type="expression" dxfId="12" priority="1">
      <formula>AND(DAY(C18)&gt;=1,DAY(C18)&lt;=15)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11" activePane="bottomLeft" state="frozen"/>
      <selection pane="bottomLeft" activeCell="F13" sqref="F13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72" t="s">
        <v>0</v>
      </c>
      <c r="D2" s="172"/>
      <c r="E2" s="172"/>
      <c r="F2" s="172"/>
      <c r="G2" s="172"/>
      <c r="H2" s="172"/>
      <c r="I2" s="173"/>
    </row>
    <row r="3" spans="2:9" ht="20" customHeight="1" x14ac:dyDescent="0.3">
      <c r="B3" s="77"/>
      <c r="C3" s="60"/>
      <c r="D3" s="61"/>
      <c r="E3" s="61"/>
      <c r="F3" s="62"/>
      <c r="G3" s="19" t="s">
        <v>29</v>
      </c>
      <c r="H3" s="19" t="s">
        <v>30</v>
      </c>
      <c r="I3" s="81"/>
    </row>
    <row r="4" spans="2:9" ht="75" customHeight="1" x14ac:dyDescent="0.65">
      <c r="B4" s="77"/>
      <c r="C4" s="146">
        <f>CalendarYear</f>
        <v>2023</v>
      </c>
      <c r="D4" s="183" t="s">
        <v>31</v>
      </c>
      <c r="E4" s="183"/>
      <c r="F4" s="183"/>
      <c r="G4" s="183"/>
      <c r="H4" s="183"/>
      <c r="I4" s="145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6" customFormat="1" ht="25" customHeight="1" x14ac:dyDescent="0.2">
      <c r="B6" s="80"/>
      <c r="C6" s="44">
        <f t="array" ref="C6:I6">DaysAndWeeks+DATE(CalendarYear,9,1)-WEEKDAY(DATE(CalendarYear,9,1),(WeekStart="M")+1)+1</f>
        <v>45165</v>
      </c>
      <c r="D6" s="37">
        <v>45166</v>
      </c>
      <c r="E6" s="37">
        <v>45167</v>
      </c>
      <c r="F6" s="37">
        <v>45168</v>
      </c>
      <c r="G6" s="37">
        <v>45169</v>
      </c>
      <c r="H6" s="35">
        <v>45170</v>
      </c>
      <c r="I6" s="70">
        <v>45171</v>
      </c>
    </row>
    <row r="7" spans="2:9" s="55" customFormat="1" ht="75" customHeight="1" x14ac:dyDescent="0.15">
      <c r="B7" s="85"/>
      <c r="C7" s="58"/>
      <c r="D7" s="56"/>
      <c r="E7" s="56"/>
      <c r="F7" s="56"/>
      <c r="G7" s="142"/>
      <c r="H7" s="132">
        <v>0.625</v>
      </c>
      <c r="I7" s="86"/>
    </row>
    <row r="8" spans="2:9" s="36" customFormat="1" ht="25" customHeight="1" x14ac:dyDescent="0.2">
      <c r="B8" s="80"/>
      <c r="C8" s="38">
        <f t="array" ref="C8:I8">DaysAndWeeks+DATE(CalendarYear,9,1)-WEEKDAY(DATE(CalendarYear,9,1),(WeekStart="M")+1)+8</f>
        <v>45172</v>
      </c>
      <c r="D8" s="35">
        <v>45173</v>
      </c>
      <c r="E8" s="35">
        <v>45174</v>
      </c>
      <c r="F8" s="35">
        <v>45175</v>
      </c>
      <c r="G8" s="35">
        <v>45176</v>
      </c>
      <c r="H8" s="35">
        <v>45177</v>
      </c>
      <c r="I8" s="70">
        <v>45178</v>
      </c>
    </row>
    <row r="9" spans="2:9" s="55" customFormat="1" ht="75" customHeight="1" x14ac:dyDescent="0.15">
      <c r="B9" s="85"/>
      <c r="C9" s="135"/>
      <c r="D9" s="139"/>
      <c r="E9" s="132"/>
      <c r="F9" s="192">
        <v>0.625</v>
      </c>
      <c r="G9" s="136"/>
      <c r="H9" s="54"/>
      <c r="I9" s="86"/>
    </row>
    <row r="10" spans="2:9" s="36" customFormat="1" ht="25" customHeight="1" x14ac:dyDescent="0.2">
      <c r="B10" s="80"/>
      <c r="C10" s="38">
        <f t="array" ref="C10:I10">DaysAndWeeks+DATE(CalendarYear,9,1)-WEEKDAY(DATE(CalendarYear,9,1),(WeekStart="M")+1)+15</f>
        <v>45179</v>
      </c>
      <c r="D10" s="35">
        <v>45180</v>
      </c>
      <c r="E10" s="35">
        <v>45181</v>
      </c>
      <c r="F10" s="35">
        <v>45182</v>
      </c>
      <c r="G10" s="35">
        <v>45183</v>
      </c>
      <c r="H10" s="35">
        <v>45184</v>
      </c>
      <c r="I10" s="70">
        <v>45185</v>
      </c>
    </row>
    <row r="11" spans="2:9" s="55" customFormat="1" ht="75" customHeight="1" x14ac:dyDescent="0.15">
      <c r="B11" s="85"/>
      <c r="C11" s="132"/>
      <c r="D11" s="132">
        <v>0.625</v>
      </c>
      <c r="E11" s="132"/>
      <c r="F11" s="192">
        <v>0.625</v>
      </c>
      <c r="G11" s="132"/>
      <c r="H11" s="132">
        <v>0.625</v>
      </c>
      <c r="I11" s="86"/>
    </row>
    <row r="12" spans="2:9" s="36" customFormat="1" ht="25" customHeight="1" x14ac:dyDescent="0.2">
      <c r="B12" s="80"/>
      <c r="C12" s="38">
        <f t="array" ref="C12:I12">DaysAndWeeks+DATE(CalendarYear,9,1)-WEEKDAY(DATE(CalendarYear,9,1),(WeekStart="M")+1)+22</f>
        <v>45186</v>
      </c>
      <c r="D12" s="35">
        <v>45187</v>
      </c>
      <c r="E12" s="35">
        <v>45188</v>
      </c>
      <c r="F12" s="35">
        <v>45189</v>
      </c>
      <c r="G12" s="35">
        <v>45190</v>
      </c>
      <c r="H12" s="35">
        <v>45191</v>
      </c>
      <c r="I12" s="70">
        <v>45192</v>
      </c>
    </row>
    <row r="13" spans="2:9" s="55" customFormat="1" ht="75" customHeight="1" x14ac:dyDescent="0.15">
      <c r="B13" s="85"/>
      <c r="C13" s="135"/>
      <c r="D13" s="139"/>
      <c r="E13" s="132"/>
      <c r="F13" s="192">
        <v>0.625</v>
      </c>
      <c r="G13" s="136"/>
      <c r="H13" s="54"/>
      <c r="I13" s="86"/>
    </row>
    <row r="14" spans="2:9" s="36" customFormat="1" ht="25" customHeight="1" x14ac:dyDescent="0.2">
      <c r="B14" s="80"/>
      <c r="C14" s="38">
        <f t="array" ref="C14:I14">DaysAndWeeks+DATE(CalendarYear,9,1)-WEEKDAY(DATE(CalendarYear,9,1),(WeekStart="M")+1)+29</f>
        <v>45193</v>
      </c>
      <c r="D14" s="35">
        <v>45194</v>
      </c>
      <c r="E14" s="35">
        <v>45195</v>
      </c>
      <c r="F14" s="35">
        <v>45196</v>
      </c>
      <c r="G14" s="35">
        <v>45197</v>
      </c>
      <c r="H14" s="35">
        <v>45198</v>
      </c>
      <c r="I14" s="166">
        <v>45199</v>
      </c>
    </row>
    <row r="15" spans="2:9" s="55" customFormat="1" ht="75" customHeight="1" x14ac:dyDescent="0.15">
      <c r="B15" s="85"/>
      <c r="C15" s="132"/>
      <c r="D15" s="132">
        <v>0.625</v>
      </c>
      <c r="E15" s="132"/>
      <c r="F15" s="192">
        <v>0.625</v>
      </c>
      <c r="G15" s="132"/>
      <c r="H15" s="132">
        <v>0.625</v>
      </c>
      <c r="I15" s="165"/>
    </row>
    <row r="16" spans="2:9" s="36" customFormat="1" ht="25" customHeight="1" x14ac:dyDescent="0.2">
      <c r="B16" s="80"/>
      <c r="C16" s="44">
        <f t="array" ref="C16:I16">DaysAndWeeks+DATE(CalendarYear,9,1)-WEEKDAY(DATE(CalendarYear,9,1),(WeekStart="M")+1)+36</f>
        <v>45200</v>
      </c>
      <c r="D16" s="37">
        <v>45201</v>
      </c>
      <c r="E16" s="37">
        <v>45202</v>
      </c>
      <c r="F16" s="37">
        <v>45203</v>
      </c>
      <c r="G16" s="37">
        <v>45204</v>
      </c>
      <c r="H16" s="37">
        <v>45205</v>
      </c>
      <c r="I16" s="72">
        <v>45206</v>
      </c>
    </row>
    <row r="17" spans="2:9" s="55" customFormat="1" ht="75" customHeight="1" x14ac:dyDescent="0.15">
      <c r="B17" s="85"/>
      <c r="C17" s="58"/>
      <c r="D17" s="56"/>
      <c r="E17" s="56"/>
      <c r="F17" s="56"/>
      <c r="G17" s="56"/>
      <c r="H17" s="56"/>
      <c r="I17" s="92"/>
    </row>
    <row r="18" spans="2:9" ht="125" customHeight="1" thickBot="1" x14ac:dyDescent="0.2">
      <c r="B18" s="77"/>
      <c r="C18" s="174" t="s">
        <v>7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11" priority="3">
      <formula>DAY(C6)&gt;8</formula>
    </cfRule>
  </conditionalFormatting>
  <conditionalFormatting sqref="C14:I14 C16:I17 D15 H15:I15 F15">
    <cfRule type="expression" dxfId="10" priority="2">
      <formula>AND(DAY(C14)&gt;=1,DAY(C14)&lt;=15)</formula>
    </cfRule>
  </conditionalFormatting>
  <conditionalFormatting sqref="C18">
    <cfRule type="expression" dxfId="9" priority="1">
      <formula>AND(DAY(C18)&gt;=1,DAY(C18)&lt;=15)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="89" zoomScaleNormal="100" workbookViewId="0">
      <pane ySplit="5" topLeftCell="A13" activePane="bottomLeft" state="frozen"/>
      <selection pane="bottomLeft" activeCell="E17" sqref="E17"/>
    </sheetView>
  </sheetViews>
  <sheetFormatPr baseColWidth="10" defaultColWidth="8.625" defaultRowHeight="17" x14ac:dyDescent="0.15"/>
  <cols>
    <col min="1" max="2" width="2.625" style="34" customWidth="1"/>
    <col min="3" max="9" width="24.375" style="34" customWidth="1"/>
    <col min="10" max="16384" width="8.625" style="34"/>
  </cols>
  <sheetData>
    <row r="1" spans="2:9" ht="15" customHeight="1" thickBot="1" x14ac:dyDescent="0.2">
      <c r="C1" s="113"/>
      <c r="D1" s="113"/>
      <c r="E1" s="113"/>
      <c r="F1" s="113"/>
      <c r="G1" s="113"/>
      <c r="H1" s="113"/>
      <c r="I1" s="113"/>
    </row>
    <row r="2" spans="2:9" ht="75" customHeight="1" thickTop="1" x14ac:dyDescent="0.15">
      <c r="B2" s="78"/>
      <c r="C2" s="172" t="s">
        <v>0</v>
      </c>
      <c r="D2" s="172"/>
      <c r="E2" s="172"/>
      <c r="F2" s="172"/>
      <c r="G2" s="172"/>
      <c r="H2" s="172"/>
      <c r="I2" s="173"/>
    </row>
    <row r="3" spans="2:9" ht="20" customHeight="1" x14ac:dyDescent="0.2">
      <c r="B3" s="78"/>
      <c r="C3" s="102"/>
      <c r="D3" s="103"/>
      <c r="E3" s="103"/>
      <c r="F3" s="104"/>
      <c r="G3" s="19" t="s">
        <v>32</v>
      </c>
      <c r="H3" s="19" t="s">
        <v>33</v>
      </c>
      <c r="I3" s="110"/>
    </row>
    <row r="4" spans="2:9" ht="75" customHeight="1" x14ac:dyDescent="0.65">
      <c r="B4" s="78"/>
      <c r="C4" s="146">
        <f>CalendarYear</f>
        <v>2023</v>
      </c>
      <c r="D4" s="183" t="s">
        <v>34</v>
      </c>
      <c r="E4" s="183"/>
      <c r="F4" s="183"/>
      <c r="G4" s="183"/>
      <c r="H4" s="183"/>
      <c r="I4" s="145"/>
    </row>
    <row r="5" spans="2:9" ht="35" customHeight="1" x14ac:dyDescent="0.15">
      <c r="B5" s="78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ht="25" customHeight="1" x14ac:dyDescent="0.2">
      <c r="B6" s="78"/>
      <c r="C6" s="119">
        <f t="array" ref="C6:I6">DaysAndWeeks+DATE(CalendarYear,10,1)-WEEKDAY(DATE(CalendarYear,10,1),(WeekStart="M")+1)+1</f>
        <v>45200</v>
      </c>
      <c r="D6" s="114">
        <v>45201</v>
      </c>
      <c r="E6" s="114">
        <v>45202</v>
      </c>
      <c r="F6" s="114">
        <v>45203</v>
      </c>
      <c r="G6" s="114">
        <v>45204</v>
      </c>
      <c r="H6" s="114">
        <v>45205</v>
      </c>
      <c r="I6" s="70">
        <v>45206</v>
      </c>
    </row>
    <row r="7" spans="2:9" s="68" customFormat="1" ht="75" customHeight="1" x14ac:dyDescent="0.15">
      <c r="B7" s="79"/>
      <c r="C7" s="141"/>
      <c r="D7" s="63"/>
      <c r="E7" s="128"/>
      <c r="F7" s="128">
        <v>0.625</v>
      </c>
      <c r="G7" s="128"/>
      <c r="H7" s="63"/>
      <c r="I7" s="71"/>
    </row>
    <row r="8" spans="2:9" ht="25" customHeight="1" x14ac:dyDescent="0.2">
      <c r="B8" s="78"/>
      <c r="C8" s="38">
        <f t="array" ref="C8:I8">DaysAndWeeks+DATE(CalendarYear,10,1)-WEEKDAY(DATE(CalendarYear,10,1),(WeekStart="M")+1)+8</f>
        <v>45207</v>
      </c>
      <c r="D8" s="35">
        <v>45208</v>
      </c>
      <c r="E8" s="35">
        <v>45209</v>
      </c>
      <c r="F8" s="35">
        <v>45210</v>
      </c>
      <c r="G8" s="35">
        <v>45211</v>
      </c>
      <c r="H8" s="35">
        <v>45212</v>
      </c>
      <c r="I8" s="70">
        <v>45213</v>
      </c>
    </row>
    <row r="9" spans="2:9" s="68" customFormat="1" ht="75" customHeight="1" x14ac:dyDescent="0.15">
      <c r="B9" s="79"/>
      <c r="C9" s="128"/>
      <c r="D9" s="128">
        <v>0.625</v>
      </c>
      <c r="E9" s="128"/>
      <c r="F9" s="128">
        <v>0.625</v>
      </c>
      <c r="G9" s="128"/>
      <c r="H9" s="128">
        <v>0.625</v>
      </c>
      <c r="I9" s="71"/>
    </row>
    <row r="10" spans="2:9" ht="25" customHeight="1" x14ac:dyDescent="0.2">
      <c r="B10" s="78"/>
      <c r="C10" s="38">
        <f t="array" ref="C10:I10">DaysAndWeeks+DATE(CalendarYear,10,1)-WEEKDAY(DATE(CalendarYear,10,1),(WeekStart="M")+1)+15</f>
        <v>45214</v>
      </c>
      <c r="D10" s="35">
        <v>45215</v>
      </c>
      <c r="E10" s="35">
        <v>45216</v>
      </c>
      <c r="F10" s="35">
        <v>45217</v>
      </c>
      <c r="G10" s="35">
        <v>45218</v>
      </c>
      <c r="H10" s="35">
        <v>45219</v>
      </c>
      <c r="I10" s="70">
        <v>45220</v>
      </c>
    </row>
    <row r="11" spans="2:9" s="68" customFormat="1" ht="75" customHeight="1" x14ac:dyDescent="0.15">
      <c r="B11" s="79"/>
      <c r="C11" s="141"/>
      <c r="D11" s="140"/>
      <c r="E11" s="128"/>
      <c r="F11" s="128">
        <v>0.625</v>
      </c>
      <c r="G11" s="137"/>
      <c r="H11" s="63"/>
      <c r="I11" s="71"/>
    </row>
    <row r="12" spans="2:9" ht="25" customHeight="1" x14ac:dyDescent="0.2">
      <c r="B12" s="78"/>
      <c r="C12" s="38">
        <f t="array" ref="C12:I12">DaysAndWeeks+DATE(CalendarYear,10,1)-WEEKDAY(DATE(CalendarYear,10,1),(WeekStart="M")+1)+22</f>
        <v>45221</v>
      </c>
      <c r="D12" s="35">
        <v>45222</v>
      </c>
      <c r="E12" s="35">
        <v>45223</v>
      </c>
      <c r="F12" s="35">
        <v>45224</v>
      </c>
      <c r="G12" s="35">
        <v>45225</v>
      </c>
      <c r="H12" s="35">
        <v>45226</v>
      </c>
      <c r="I12" s="70">
        <v>45227</v>
      </c>
    </row>
    <row r="13" spans="2:9" s="68" customFormat="1" ht="75" customHeight="1" x14ac:dyDescent="0.15">
      <c r="B13" s="79"/>
      <c r="C13" s="128"/>
      <c r="D13" s="128">
        <v>0.625</v>
      </c>
      <c r="E13" s="128"/>
      <c r="F13" s="128">
        <v>0.625</v>
      </c>
      <c r="G13" s="128"/>
      <c r="H13" s="191">
        <v>0.625</v>
      </c>
      <c r="I13" s="71"/>
    </row>
    <row r="14" spans="2:9" ht="25" customHeight="1" x14ac:dyDescent="0.2">
      <c r="B14" s="78"/>
      <c r="C14" s="38">
        <f t="array" ref="C14:I14">DaysAndWeeks+DATE(CalendarYear,10,1)-WEEKDAY(DATE(CalendarYear,10,1),(WeekStart="M")+1)+29</f>
        <v>45228</v>
      </c>
      <c r="D14" s="35">
        <v>45229</v>
      </c>
      <c r="E14" s="35">
        <v>45230</v>
      </c>
      <c r="F14" s="37">
        <v>45231</v>
      </c>
      <c r="G14" s="37">
        <v>45232</v>
      </c>
      <c r="H14" s="37">
        <v>45233</v>
      </c>
      <c r="I14" s="72">
        <v>45234</v>
      </c>
    </row>
    <row r="15" spans="2:9" s="111" customFormat="1" ht="75" customHeight="1" x14ac:dyDescent="0.15">
      <c r="B15" s="112"/>
      <c r="C15" s="141"/>
      <c r="D15" s="140"/>
      <c r="E15" s="128"/>
      <c r="F15" s="168"/>
      <c r="G15" s="138"/>
      <c r="H15" s="169"/>
      <c r="I15" s="170"/>
    </row>
    <row r="16" spans="2:9" ht="25" customHeight="1" x14ac:dyDescent="0.2">
      <c r="B16" s="78"/>
      <c r="C16" s="44">
        <f t="array" ref="C16:I16">DaysAndWeeks+DATE(CalendarYear,10,1)-WEEKDAY(DATE(CalendarYear,10,1),(WeekStart="M")+1)+36</f>
        <v>45235</v>
      </c>
      <c r="D16" s="37">
        <v>45236</v>
      </c>
      <c r="E16" s="37">
        <v>45237</v>
      </c>
      <c r="F16" s="37">
        <v>45238</v>
      </c>
      <c r="G16" s="37">
        <v>45239</v>
      </c>
      <c r="H16" s="37">
        <v>45240</v>
      </c>
      <c r="I16" s="37">
        <v>45241</v>
      </c>
    </row>
    <row r="17" spans="2:9" s="68" customFormat="1" ht="75" customHeight="1" x14ac:dyDescent="0.15">
      <c r="B17" s="79"/>
      <c r="C17" s="167"/>
      <c r="D17" s="67"/>
      <c r="E17" s="67"/>
      <c r="F17" s="67"/>
      <c r="G17" s="67"/>
      <c r="H17" s="67"/>
      <c r="I17" s="67"/>
    </row>
    <row r="18" spans="2:9" s="1" customFormat="1" ht="125" customHeight="1" thickBot="1" x14ac:dyDescent="0.2">
      <c r="B18" s="77"/>
      <c r="C18" s="174" t="s">
        <v>7</v>
      </c>
      <c r="D18" s="175"/>
      <c r="E18" s="175"/>
      <c r="F18" s="175"/>
      <c r="G18" s="175"/>
      <c r="H18" s="175"/>
      <c r="I18" s="176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6:H6">
    <cfRule type="expression" dxfId="8" priority="3">
      <formula>DAY(C6)&gt;8</formula>
    </cfRule>
  </conditionalFormatting>
  <conditionalFormatting sqref="C14:I14 C16:I17 C15:D15 F15:I15">
    <cfRule type="expression" dxfId="7" priority="2">
      <formula>AND(DAY(C14)&gt;=1,DAY(C14)&lt;=15)</formula>
    </cfRule>
  </conditionalFormatting>
  <conditionalFormatting sqref="C18">
    <cfRule type="expression" dxfId="6" priority="1">
      <formula>AND(DAY(C18)&gt;=1,DAY(C18)&lt;=15)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15" activePane="bottomLeft" state="frozen"/>
      <selection pane="bottomLeft" activeCell="G24" sqref="G2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72" t="s">
        <v>0</v>
      </c>
      <c r="D2" s="172"/>
      <c r="E2" s="172"/>
      <c r="F2" s="172"/>
      <c r="G2" s="172"/>
      <c r="H2" s="172"/>
      <c r="I2" s="173"/>
    </row>
    <row r="3" spans="2:9" ht="20" customHeight="1" x14ac:dyDescent="0.3">
      <c r="B3" s="77"/>
      <c r="C3" s="60"/>
      <c r="D3" s="61"/>
      <c r="E3" s="61"/>
      <c r="F3" s="62"/>
      <c r="G3" s="19" t="s">
        <v>35</v>
      </c>
      <c r="H3" s="19" t="s">
        <v>36</v>
      </c>
      <c r="I3" s="81"/>
    </row>
    <row r="4" spans="2:9" ht="75" customHeight="1" x14ac:dyDescent="0.65">
      <c r="B4" s="77"/>
      <c r="C4" s="146">
        <f>CalendarYear</f>
        <v>2023</v>
      </c>
      <c r="D4" s="184" t="s">
        <v>37</v>
      </c>
      <c r="E4" s="184"/>
      <c r="F4" s="184"/>
      <c r="G4" s="184"/>
      <c r="H4" s="184"/>
      <c r="I4" s="145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4" customFormat="1" ht="25" customHeight="1" x14ac:dyDescent="0.2">
      <c r="B6" s="78"/>
      <c r="C6" s="44">
        <f t="array" ref="C6:I6">DaysAndWeeks+DATE(CalendarYear,11,1)-WEEKDAY(DATE(CalendarYear,11,1),(WeekStart="M")+1)+1</f>
        <v>45228</v>
      </c>
      <c r="D6" s="37">
        <v>45229</v>
      </c>
      <c r="E6" s="37">
        <v>45230</v>
      </c>
      <c r="F6" s="35">
        <v>45231</v>
      </c>
      <c r="G6" s="35">
        <v>45232</v>
      </c>
      <c r="H6" s="35">
        <v>45233</v>
      </c>
      <c r="I6" s="70">
        <v>45234</v>
      </c>
    </row>
    <row r="7" spans="2:9" s="68" customFormat="1" ht="75" customHeight="1" x14ac:dyDescent="0.15">
      <c r="B7" s="79"/>
      <c r="C7" s="69"/>
      <c r="D7" s="67"/>
      <c r="E7" s="151"/>
      <c r="F7" s="128">
        <v>0.625</v>
      </c>
      <c r="G7" s="137"/>
      <c r="H7" s="63"/>
      <c r="I7" s="71"/>
    </row>
    <row r="8" spans="2:9" s="34" customFormat="1" ht="25" customHeight="1" x14ac:dyDescent="0.2">
      <c r="B8" s="78"/>
      <c r="C8" s="38">
        <f t="array" ref="C8:I8">DaysAndWeeks+DATE(CalendarYear,11,1)-WEEKDAY(DATE(CalendarYear,11,1),(WeekStart="M")+1)+8</f>
        <v>45235</v>
      </c>
      <c r="D8" s="35">
        <v>45236</v>
      </c>
      <c r="E8" s="114">
        <v>45237</v>
      </c>
      <c r="F8" s="35">
        <v>45238</v>
      </c>
      <c r="G8" s="35">
        <v>45239</v>
      </c>
      <c r="H8" s="35">
        <v>45240</v>
      </c>
      <c r="I8" s="70">
        <v>45241</v>
      </c>
    </row>
    <row r="9" spans="2:9" s="68" customFormat="1" ht="75" customHeight="1" x14ac:dyDescent="0.15">
      <c r="B9" s="79"/>
      <c r="C9" s="128"/>
      <c r="D9" s="128">
        <v>0.625</v>
      </c>
      <c r="E9" s="128"/>
      <c r="F9" s="128">
        <v>0.625</v>
      </c>
      <c r="G9" s="128"/>
      <c r="H9" s="128">
        <v>0.625</v>
      </c>
      <c r="I9" s="71"/>
    </row>
    <row r="10" spans="2:9" s="34" customFormat="1" ht="25" customHeight="1" x14ac:dyDescent="0.2">
      <c r="B10" s="78"/>
      <c r="C10" s="38">
        <f t="array" ref="C10:I10">DaysAndWeeks+DATE(CalendarYear,11,1)-WEEKDAY(DATE(CalendarYear,11,1),(WeekStart="M")+1)+15</f>
        <v>45242</v>
      </c>
      <c r="D10" s="35">
        <v>45243</v>
      </c>
      <c r="E10" s="114">
        <v>45244</v>
      </c>
      <c r="F10" s="35">
        <v>45245</v>
      </c>
      <c r="G10" s="35">
        <v>45246</v>
      </c>
      <c r="H10" s="35">
        <v>45247</v>
      </c>
      <c r="I10" s="70">
        <v>45248</v>
      </c>
    </row>
    <row r="11" spans="2:9" s="68" customFormat="1" ht="75" customHeight="1" x14ac:dyDescent="0.15">
      <c r="B11" s="79"/>
      <c r="C11" s="141"/>
      <c r="D11" s="140"/>
      <c r="E11" s="128"/>
      <c r="F11" s="140" t="s">
        <v>41</v>
      </c>
      <c r="G11" s="137"/>
      <c r="H11" s="63"/>
      <c r="I11" s="71"/>
    </row>
    <row r="12" spans="2:9" s="34" customFormat="1" ht="25" customHeight="1" x14ac:dyDescent="0.2">
      <c r="B12" s="78"/>
      <c r="C12" s="38">
        <f t="array" ref="C12:I12">DaysAndWeeks+DATE(CalendarYear,11,1)-WEEKDAY(DATE(CalendarYear,11,1),(WeekStart="M")+1)+22</f>
        <v>45249</v>
      </c>
      <c r="D12" s="35">
        <v>45250</v>
      </c>
      <c r="E12" s="114">
        <v>45251</v>
      </c>
      <c r="F12" s="35">
        <v>45252</v>
      </c>
      <c r="G12" s="35">
        <v>45253</v>
      </c>
      <c r="H12" s="35">
        <v>45254</v>
      </c>
      <c r="I12" s="70">
        <v>45255</v>
      </c>
    </row>
    <row r="13" spans="2:9" s="68" customFormat="1" ht="75" customHeight="1" x14ac:dyDescent="0.15">
      <c r="B13" s="79"/>
      <c r="C13" s="128"/>
      <c r="D13" s="128">
        <v>0.625</v>
      </c>
      <c r="E13" s="128"/>
      <c r="F13" s="128">
        <v>0.625</v>
      </c>
      <c r="G13" s="128"/>
      <c r="H13" s="128">
        <v>0.625</v>
      </c>
      <c r="I13" s="71"/>
    </row>
    <row r="14" spans="2:9" s="34" customFormat="1" ht="25" customHeight="1" x14ac:dyDescent="0.2">
      <c r="B14" s="78"/>
      <c r="C14" s="38">
        <f t="array" ref="C14:I14">DaysAndWeeks+DATE(CalendarYear,11,1)-WEEKDAY(DATE(CalendarYear,11,1),(WeekStart="M")+1)+29</f>
        <v>45256</v>
      </c>
      <c r="D14" s="35">
        <v>45257</v>
      </c>
      <c r="E14" s="114">
        <v>45258</v>
      </c>
      <c r="F14" s="35">
        <v>45259</v>
      </c>
      <c r="G14" s="148">
        <v>45260</v>
      </c>
      <c r="H14" s="37">
        <v>45261</v>
      </c>
      <c r="I14" s="72">
        <v>45262</v>
      </c>
    </row>
    <row r="15" spans="2:9" s="68" customFormat="1" ht="75" customHeight="1" x14ac:dyDescent="0.15">
      <c r="B15" s="79"/>
      <c r="C15" s="141"/>
      <c r="D15" s="140"/>
      <c r="E15" s="128"/>
      <c r="F15" s="191">
        <v>0.625</v>
      </c>
      <c r="G15" s="164"/>
      <c r="H15" s="67"/>
      <c r="I15" s="73"/>
    </row>
    <row r="16" spans="2:9" s="34" customFormat="1" ht="25" customHeight="1" x14ac:dyDescent="0.2">
      <c r="B16" s="78"/>
      <c r="C16" s="66">
        <f t="array" ref="C16:I16">DaysAndWeeks+DATE(CalendarYear,11,1)-WEEKDAY(DATE(CalendarYear,11,1),(WeekStart="M")+1)+36</f>
        <v>45263</v>
      </c>
      <c r="D16" s="37">
        <v>45264</v>
      </c>
      <c r="E16" s="37">
        <v>45265</v>
      </c>
      <c r="F16" s="37">
        <v>45266</v>
      </c>
      <c r="G16" s="37">
        <v>45267</v>
      </c>
      <c r="H16" s="37">
        <v>45268</v>
      </c>
      <c r="I16" s="72">
        <v>45269</v>
      </c>
    </row>
    <row r="17" spans="2:9" s="68" customFormat="1" ht="75" customHeight="1" x14ac:dyDescent="0.15">
      <c r="B17" s="79"/>
      <c r="C17" s="106"/>
      <c r="D17" s="67"/>
      <c r="E17" s="67"/>
      <c r="F17" s="67"/>
      <c r="G17" s="67"/>
      <c r="H17" s="67"/>
      <c r="I17" s="73"/>
    </row>
    <row r="18" spans="2:9" ht="125" customHeight="1" thickBot="1" x14ac:dyDescent="0.2">
      <c r="B18" s="77"/>
      <c r="C18" s="174" t="s">
        <v>7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5" priority="3">
      <formula>DAY(C6)&gt;8</formula>
    </cfRule>
  </conditionalFormatting>
  <conditionalFormatting sqref="C14:I14 C16:I17 C15:D15 F15:I15">
    <cfRule type="expression" dxfId="4" priority="2">
      <formula>AND(DAY(C14)&gt;=1,DAY(C14)&lt;=15)</formula>
    </cfRule>
  </conditionalFormatting>
  <conditionalFormatting sqref="C18">
    <cfRule type="expression" dxfId="3" priority="1">
      <formula>AND(DAY(C18)&gt;=1,DAY(C18)&lt;=15)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="81" zoomScaleNormal="100" workbookViewId="0">
      <pane ySplit="5" topLeftCell="A11" activePane="bottomLeft" state="frozen"/>
      <selection pane="bottomLeft" activeCell="C18" sqref="C18:I18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2"/>
      <c r="D1" s="82"/>
      <c r="E1" s="82"/>
      <c r="F1" s="82"/>
      <c r="G1" s="82"/>
      <c r="H1" s="82"/>
      <c r="I1" s="82"/>
    </row>
    <row r="2" spans="2:9" ht="75" customHeight="1" thickTop="1" x14ac:dyDescent="0.15">
      <c r="B2" s="77"/>
      <c r="C2" s="172" t="s">
        <v>0</v>
      </c>
      <c r="D2" s="172"/>
      <c r="E2" s="172"/>
      <c r="F2" s="172"/>
      <c r="G2" s="172"/>
      <c r="H2" s="172"/>
      <c r="I2" s="173"/>
    </row>
    <row r="3" spans="2:9" ht="20" customHeight="1" x14ac:dyDescent="0.3">
      <c r="B3" s="77"/>
      <c r="C3" s="60"/>
      <c r="D3" s="61"/>
      <c r="E3" s="61"/>
      <c r="F3" s="62"/>
      <c r="G3" s="19" t="s">
        <v>38</v>
      </c>
      <c r="H3" s="19" t="s">
        <v>39</v>
      </c>
      <c r="I3" s="81"/>
    </row>
    <row r="4" spans="2:9" ht="75" customHeight="1" x14ac:dyDescent="0.65">
      <c r="B4" s="77"/>
      <c r="C4" s="146">
        <f>CalendarYear</f>
        <v>2023</v>
      </c>
      <c r="D4" s="184" t="s">
        <v>40</v>
      </c>
      <c r="E4" s="184"/>
      <c r="F4" s="184"/>
      <c r="G4" s="184"/>
      <c r="H4" s="184"/>
      <c r="I4" s="145"/>
    </row>
    <row r="5" spans="2:9" ht="35" customHeight="1" x14ac:dyDescent="0.15">
      <c r="B5" s="77"/>
      <c r="C5" s="13" t="str">
        <f>WeekStart</f>
        <v>S</v>
      </c>
      <c r="D5" s="13" t="str">
        <f t="shared" ref="D5:I5" si="0">LEFT(TEXT(D6,"ddd"),1)</f>
        <v>M</v>
      </c>
      <c r="E5" s="13" t="str">
        <f t="shared" si="0"/>
        <v>T</v>
      </c>
      <c r="F5" s="13" t="str">
        <f t="shared" si="0"/>
        <v>W</v>
      </c>
      <c r="G5" s="13" t="str">
        <f t="shared" si="0"/>
        <v>T</v>
      </c>
      <c r="H5" s="13" t="str">
        <f t="shared" si="0"/>
        <v>F</v>
      </c>
      <c r="I5" s="14" t="str">
        <f t="shared" si="0"/>
        <v>S</v>
      </c>
    </row>
    <row r="6" spans="2:9" s="34" customFormat="1" ht="25" customHeight="1" x14ac:dyDescent="0.2">
      <c r="B6" s="78"/>
      <c r="C6" s="44">
        <f t="array" ref="C6:I6">DaysAndWeeks+DATE(CalendarYear,12,1)-WEEKDAY(DATE(CalendarYear,12,1),(WeekStart="M")+1)+1</f>
        <v>45256</v>
      </c>
      <c r="D6" s="37">
        <v>45257</v>
      </c>
      <c r="E6" s="37">
        <v>45258</v>
      </c>
      <c r="F6" s="37">
        <v>45259</v>
      </c>
      <c r="G6" s="37">
        <v>45260</v>
      </c>
      <c r="H6" s="35">
        <v>45261</v>
      </c>
      <c r="I6" s="70">
        <v>45262</v>
      </c>
    </row>
    <row r="7" spans="2:9" s="68" customFormat="1" ht="75" customHeight="1" x14ac:dyDescent="0.15">
      <c r="B7" s="79"/>
      <c r="C7" s="69"/>
      <c r="D7" s="67"/>
      <c r="E7" s="67"/>
      <c r="F7" s="67"/>
      <c r="G7" s="151"/>
      <c r="H7" s="63"/>
      <c r="I7" s="71"/>
    </row>
    <row r="8" spans="2:9" s="34" customFormat="1" ht="25" customHeight="1" x14ac:dyDescent="0.2">
      <c r="B8" s="78"/>
      <c r="C8" s="38">
        <f t="array" ref="C8:I8">DaysAndWeeks+DATE(CalendarYear,12,1)-WEEKDAY(DATE(CalendarYear,12,1),(WeekStart="M")+1)+8</f>
        <v>45263</v>
      </c>
      <c r="D8" s="35">
        <v>45264</v>
      </c>
      <c r="E8" s="38">
        <v>45265</v>
      </c>
      <c r="F8" s="35">
        <v>45266</v>
      </c>
      <c r="G8" s="35">
        <v>45267</v>
      </c>
      <c r="H8" s="35">
        <v>45268</v>
      </c>
      <c r="I8" s="70">
        <v>45269</v>
      </c>
    </row>
    <row r="9" spans="2:9" s="68" customFormat="1" ht="75" customHeight="1" x14ac:dyDescent="0.15">
      <c r="B9" s="79"/>
      <c r="C9" s="128"/>
      <c r="D9" s="128">
        <v>0.625</v>
      </c>
      <c r="E9" s="128"/>
      <c r="F9" s="128">
        <v>0.625</v>
      </c>
      <c r="G9" s="128"/>
      <c r="H9" s="128">
        <v>0.625</v>
      </c>
      <c r="I9" s="71"/>
    </row>
    <row r="10" spans="2:9" s="34" customFormat="1" ht="25" customHeight="1" x14ac:dyDescent="0.2">
      <c r="B10" s="78"/>
      <c r="C10" s="38">
        <f t="array" ref="C10:I10">DaysAndWeeks+DATE(CalendarYear,12,1)-WEEKDAY(DATE(CalendarYear,12,1),(WeekStart="M")+1)+15</f>
        <v>45270</v>
      </c>
      <c r="D10" s="35">
        <v>45271</v>
      </c>
      <c r="E10" s="35">
        <v>45272</v>
      </c>
      <c r="F10" s="35">
        <v>45273</v>
      </c>
      <c r="G10" s="35">
        <v>45274</v>
      </c>
      <c r="H10" s="35">
        <v>45275</v>
      </c>
      <c r="I10" s="70">
        <v>45276</v>
      </c>
    </row>
    <row r="11" spans="2:9" s="68" customFormat="1" ht="75" customHeight="1" x14ac:dyDescent="0.15">
      <c r="B11" s="79"/>
      <c r="C11" s="141"/>
      <c r="D11" s="140"/>
      <c r="E11" s="128"/>
      <c r="F11" s="128">
        <v>0.625</v>
      </c>
      <c r="G11" s="137"/>
      <c r="H11" s="63"/>
      <c r="I11" s="71"/>
    </row>
    <row r="12" spans="2:9" s="34" customFormat="1" ht="25" customHeight="1" x14ac:dyDescent="0.2">
      <c r="B12" s="78"/>
      <c r="C12" s="38">
        <f t="array" ref="C12:I12">DaysAndWeeks+DATE(CalendarYear,12,1)-WEEKDAY(DATE(CalendarYear,12,1),(WeekStart="M")+1)+22</f>
        <v>45277</v>
      </c>
      <c r="D12" s="35">
        <v>45278</v>
      </c>
      <c r="E12" s="35">
        <v>45279</v>
      </c>
      <c r="F12" s="35">
        <v>45280</v>
      </c>
      <c r="G12" s="35">
        <v>45281</v>
      </c>
      <c r="H12" s="35">
        <v>45282</v>
      </c>
      <c r="I12" s="70">
        <v>45283</v>
      </c>
    </row>
    <row r="13" spans="2:9" s="68" customFormat="1" ht="75" customHeight="1" x14ac:dyDescent="0.15">
      <c r="B13" s="79"/>
      <c r="C13" s="128"/>
      <c r="D13" s="128">
        <v>0.625</v>
      </c>
      <c r="E13" s="128"/>
      <c r="F13" s="128">
        <v>0.625</v>
      </c>
      <c r="G13" s="128"/>
      <c r="H13" s="128">
        <v>0.625</v>
      </c>
      <c r="I13" s="71"/>
    </row>
    <row r="14" spans="2:9" s="34" customFormat="1" ht="25" customHeight="1" x14ac:dyDescent="0.2">
      <c r="B14" s="78"/>
      <c r="C14" s="38">
        <f t="array" ref="C14:I14">DaysAndWeeks+DATE(CalendarYear,12,1)-WEEKDAY(DATE(CalendarYear,12,1),(WeekStart="M")+1)+29</f>
        <v>45284</v>
      </c>
      <c r="D14" s="35">
        <v>45285</v>
      </c>
      <c r="E14" s="35">
        <v>45286</v>
      </c>
      <c r="F14" s="35">
        <v>45287</v>
      </c>
      <c r="G14" s="35">
        <v>45288</v>
      </c>
      <c r="H14" s="35">
        <v>45289</v>
      </c>
      <c r="I14" s="70">
        <v>45290</v>
      </c>
    </row>
    <row r="15" spans="2:9" s="68" customFormat="1" ht="75" customHeight="1" x14ac:dyDescent="0.15">
      <c r="B15" s="79"/>
      <c r="C15" s="141"/>
      <c r="D15" s="140"/>
      <c r="E15" s="128"/>
      <c r="F15" s="128">
        <v>0.625</v>
      </c>
      <c r="G15" s="137"/>
      <c r="H15" s="63"/>
      <c r="I15" s="71"/>
    </row>
    <row r="16" spans="2:9" s="34" customFormat="1" ht="25" customHeight="1" x14ac:dyDescent="0.2">
      <c r="B16" s="78"/>
      <c r="C16" s="119">
        <f t="array" ref="C16:I16">DaysAndWeeks+DATE(CalendarYear,12,1)-WEEKDAY(DATE(CalendarYear,12,1),(WeekStart="M")+1)+36</f>
        <v>45291</v>
      </c>
      <c r="D16" s="37">
        <v>45292</v>
      </c>
      <c r="E16" s="66">
        <v>45293</v>
      </c>
      <c r="F16" s="37">
        <v>45294</v>
      </c>
      <c r="G16" s="37">
        <v>45295</v>
      </c>
      <c r="H16" s="66">
        <v>45296</v>
      </c>
      <c r="I16" s="72">
        <v>45297</v>
      </c>
    </row>
    <row r="17" spans="2:9" s="68" customFormat="1" ht="75" customHeight="1" x14ac:dyDescent="0.15">
      <c r="B17" s="79"/>
      <c r="C17" s="128"/>
      <c r="D17" s="67"/>
      <c r="E17" s="106"/>
      <c r="F17" s="67"/>
      <c r="G17" s="67"/>
      <c r="H17" s="106"/>
      <c r="I17" s="73"/>
    </row>
    <row r="18" spans="2:9" ht="125" customHeight="1" thickBot="1" x14ac:dyDescent="0.2">
      <c r="B18" s="77"/>
      <c r="C18" s="174" t="s">
        <v>7</v>
      </c>
      <c r="D18" s="175"/>
      <c r="E18" s="175"/>
      <c r="F18" s="175"/>
      <c r="G18" s="175"/>
      <c r="H18" s="175"/>
      <c r="I18" s="176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6:H6">
    <cfRule type="expression" dxfId="2" priority="3">
      <formula>DAY(C6)&gt;8</formula>
    </cfRule>
  </conditionalFormatting>
  <conditionalFormatting sqref="C14:I14 C16:I16 C15:D15 F15:I15 D17:I17">
    <cfRule type="expression" dxfId="1" priority="2">
      <formula>AND(DAY(C14)&gt;=1,DAY(C14)&lt;=15)</formula>
    </cfRule>
  </conditionalFormatting>
  <conditionalFormatting sqref="C18">
    <cfRule type="expression" dxfId="0" priority="1">
      <formula>AND(DAY(C18)&gt;=1,DAY(C18)&lt;=15)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10CFAD-D087-4ED0-9635-4C137206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C9E89F-E0F7-4EA5-B004-DCB6817900CE}">
  <ds:schemaRefs>
    <ds:schemaRef ds:uri="http://schemas.microsoft.com/office/2006/metadata/properties"/>
    <ds:schemaRef ds:uri="http://schemas.microsoft.com/office/infopath/2007/PartnerControls"/>
    <ds:schemaRef ds:uri="2f96a5e1-f937-4986-abb4-c031ec480b26"/>
    <ds:schemaRef ds:uri="6088389d-f9a4-418b-a8d8-f0ed3f71e6c8"/>
  </ds:schemaRefs>
</ds:datastoreItem>
</file>

<file path=customXml/itemProps3.xml><?xml version="1.0" encoding="utf-8"?>
<ds:datastoreItem xmlns:ds="http://schemas.openxmlformats.org/officeDocument/2006/customXml" ds:itemID="{21C2CF26-D36B-43E4-9660-EEF41C77CB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Microsoft Office User</cp:lastModifiedBy>
  <cp:revision/>
  <dcterms:created xsi:type="dcterms:W3CDTF">2016-11-11T22:25:27Z</dcterms:created>
  <dcterms:modified xsi:type="dcterms:W3CDTF">2022-12-14T02:54:15Z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